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0" windowWidth="15480" windowHeight="9855" tabRatio="774" activeTab="0"/>
  </bookViews>
  <sheets>
    <sheet name="11 лет и старше" sheetId="1" r:id="rId1"/>
  </sheets>
  <definedNames>
    <definedName name="_xlnm.Print_Area" localSheetId="0">'11 лет и старше'!$A$1:$G$346</definedName>
  </definedNames>
  <calcPr fullCalcOnLoad="1"/>
</workbook>
</file>

<file path=xl/sharedStrings.xml><?xml version="1.0" encoding="utf-8"?>
<sst xmlns="http://schemas.openxmlformats.org/spreadsheetml/2006/main" count="627" uniqueCount="223">
  <si>
    <t>Пищевые вещества, г</t>
  </si>
  <si>
    <t>Б</t>
  </si>
  <si>
    <t>Ж</t>
  </si>
  <si>
    <t>У</t>
  </si>
  <si>
    <t>Завтрак</t>
  </si>
  <si>
    <t xml:space="preserve">Обед </t>
  </si>
  <si>
    <t>Полдник</t>
  </si>
  <si>
    <t>2 день</t>
  </si>
  <si>
    <t xml:space="preserve">Завтрак </t>
  </si>
  <si>
    <t xml:space="preserve">Полдник </t>
  </si>
  <si>
    <t>Печенье</t>
  </si>
  <si>
    <t>3 день</t>
  </si>
  <si>
    <t>Обед</t>
  </si>
  <si>
    <t>4 день</t>
  </si>
  <si>
    <t>Вафли</t>
  </si>
  <si>
    <t>5 день</t>
  </si>
  <si>
    <t xml:space="preserve">6 день </t>
  </si>
  <si>
    <t xml:space="preserve">7 день </t>
  </si>
  <si>
    <t>8 день</t>
  </si>
  <si>
    <t>9 день</t>
  </si>
  <si>
    <t>10 день</t>
  </si>
  <si>
    <t>11 день</t>
  </si>
  <si>
    <t>12 день</t>
  </si>
  <si>
    <t>Используемая литература:</t>
  </si>
  <si>
    <t>Итого за день</t>
  </si>
  <si>
    <t>№ т\к, сб-к</t>
  </si>
  <si>
    <t>3. Сборник рецептур блюд и кулинарных изделий для предприятий общественного питания при общеобразовательных школах. "Хлебпродинформ 2004"</t>
  </si>
  <si>
    <t>Прием пищи</t>
  </si>
  <si>
    <t>пищевые вещества (Г)</t>
  </si>
  <si>
    <t>К/калл</t>
  </si>
  <si>
    <t>Потребность в пищевых веществах</t>
  </si>
  <si>
    <t>Масса порции,г</t>
  </si>
  <si>
    <t>Энерг.цен.,ккал</t>
  </si>
  <si>
    <t>Приём пищи, наименование блюда</t>
  </si>
  <si>
    <t xml:space="preserve"> на оказание услуг по организации готового горячего питания учащихся в общеобразовательных учреждениях.</t>
  </si>
  <si>
    <t>Хлеб пшен/украинс</t>
  </si>
  <si>
    <t>Мясо тушеное</t>
  </si>
  <si>
    <t>Чай с лимоном</t>
  </si>
  <si>
    <t>1. Сборник технологических нормативов рецептур блюд и кулинарных изделий для школьных образовательных учреждений, школ-интернатов, детских домов и детских оздоровительных учреждений,  2008г, Под редакцией: ГОУ ВПО « Пермская государственная медицинская академия»  Им, Ак, Вагнера, Уральский региональный центр питания.</t>
  </si>
  <si>
    <t>Макаронные изделия отварные</t>
  </si>
  <si>
    <t>ГП</t>
  </si>
  <si>
    <t>Сыр ( порц)</t>
  </si>
  <si>
    <t>Напиток лимонный</t>
  </si>
  <si>
    <t>Мини-кекс</t>
  </si>
  <si>
    <t>Голубцы ленивые</t>
  </si>
  <si>
    <t>Суп картофельный с бобовыми</t>
  </si>
  <si>
    <t>Капуста тушеная</t>
  </si>
  <si>
    <t xml:space="preserve">Итого                                          </t>
  </si>
  <si>
    <t>2. Сборник рецептур блюд и кулинарных изделий для предприятий общественного питания, Марчук А, Г, 1999г</t>
  </si>
  <si>
    <t>Каша пшенная молочная  жидкая</t>
  </si>
  <si>
    <t>Каша рисовая молочная жидкая</t>
  </si>
  <si>
    <t>Борщ с капустой и картофелем</t>
  </si>
  <si>
    <t>Суп картофельный с мясными фрикадельками</t>
  </si>
  <si>
    <t xml:space="preserve">Свекольник </t>
  </si>
  <si>
    <t>Икра свекольная</t>
  </si>
  <si>
    <t xml:space="preserve">Омлет натуральный </t>
  </si>
  <si>
    <t>Птица отварная</t>
  </si>
  <si>
    <t>Рассольник Ленинградский</t>
  </si>
  <si>
    <t>Плюшка "Московская"</t>
  </si>
  <si>
    <t>ПОКАЗАТЕЛЬ         по усредненному дню</t>
  </si>
  <si>
    <t>НЕДЕЛЯ</t>
  </si>
  <si>
    <t>ПЕРВАЯ</t>
  </si>
  <si>
    <t>СЕЗОН</t>
  </si>
  <si>
    <t>ОСЕННЕ-ЗИМНИЙ</t>
  </si>
  <si>
    <t>ВТОРАЯ</t>
  </si>
  <si>
    <t>завтрак</t>
  </si>
  <si>
    <t>обед</t>
  </si>
  <si>
    <t>полдник</t>
  </si>
  <si>
    <t>Первый день (понедельник)</t>
  </si>
  <si>
    <t>Второй день ( вторник )</t>
  </si>
  <si>
    <t>Третий день( среда)</t>
  </si>
  <si>
    <t>Четвертый день (четверг)</t>
  </si>
  <si>
    <t>Пятый день ( пятница)</t>
  </si>
  <si>
    <t>Шестой день ( суббота)</t>
  </si>
  <si>
    <t>Седьмой день (понедельник)</t>
  </si>
  <si>
    <t>Восьмой день (вторник)</t>
  </si>
  <si>
    <t>Девятый день( среда)</t>
  </si>
  <si>
    <t>Десятый день ( четверг)</t>
  </si>
  <si>
    <t>Одиннадцатый день( пятница)</t>
  </si>
  <si>
    <t>Двеннадцатый день (суббота)</t>
  </si>
  <si>
    <t>1 шт</t>
  </si>
  <si>
    <t>Суп с макаронными изделиями</t>
  </si>
  <si>
    <t>Суп из овощей</t>
  </si>
  <si>
    <t>366(Вагнер)</t>
  </si>
  <si>
    <t>692( Хлебпродинформ)</t>
  </si>
  <si>
    <t>200/5</t>
  </si>
  <si>
    <t>Сок овощные,фруктовые и ягодные</t>
  </si>
  <si>
    <t>293 (Вагнер)</t>
  </si>
  <si>
    <t>288 (Вагнер)</t>
  </si>
  <si>
    <t>684/685(Хлебпроднформ)</t>
  </si>
  <si>
    <t>Чай с сахаром,вареньем, джемом,медом, повидлом</t>
  </si>
  <si>
    <t>200/15</t>
  </si>
  <si>
    <t>Бутерброды с маслом</t>
  </si>
  <si>
    <t>10\50</t>
  </si>
  <si>
    <t>43 (Вагнер)</t>
  </si>
  <si>
    <t>Каша  рассыпчатая гречневая</t>
  </si>
  <si>
    <t>631 (Хлебпродинформ)</t>
  </si>
  <si>
    <t>272 ( Вагнер)</t>
  </si>
  <si>
    <t>Суп картофельный с крупой и рыбными консервами</t>
  </si>
  <si>
    <t>71 (Вагнер)</t>
  </si>
  <si>
    <t>638 (Хлебпродинформ)</t>
  </si>
  <si>
    <t>Компот из плодов или ягод сушеных (изюм)</t>
  </si>
  <si>
    <t>Компот из свежих плодов (яблок)</t>
  </si>
  <si>
    <t>686 (Хлебпродинформ)</t>
  </si>
  <si>
    <t>200/15/7</t>
  </si>
  <si>
    <t>Маринад овощной без томата</t>
  </si>
  <si>
    <t>613  (Хлебпродинформ)</t>
  </si>
  <si>
    <t>147  (Хлебпродинформ)</t>
  </si>
  <si>
    <t>Компот из плодов или ягод сушеных (курага)</t>
  </si>
  <si>
    <t>Пюре картофельное</t>
  </si>
  <si>
    <t>272 (Вагнер)</t>
  </si>
  <si>
    <t>Запеканка из творога</t>
  </si>
  <si>
    <t>Рыба запеченная в сметанном соусе</t>
  </si>
  <si>
    <t xml:space="preserve">Рагу из овощей </t>
  </si>
  <si>
    <t xml:space="preserve">Плов </t>
  </si>
  <si>
    <t>Котлета или биточки рыбные</t>
  </si>
  <si>
    <t xml:space="preserve">Гуляш </t>
  </si>
  <si>
    <t>Жаркое по-домашнему</t>
  </si>
  <si>
    <t>699 (Хлебпродинформ)</t>
  </si>
  <si>
    <t>Напиток из плодов шиповника</t>
  </si>
  <si>
    <t>705 (Хлебпродинформ)</t>
  </si>
  <si>
    <t>639  (Хлебпроднформ)</t>
  </si>
  <si>
    <t>Компот из смеси  сухофруктов</t>
  </si>
  <si>
    <t>-</t>
  </si>
  <si>
    <t>379 (Вагнер)</t>
  </si>
  <si>
    <t>233 (Вагнер)</t>
  </si>
  <si>
    <t>Горошек зеленый консервированный отварной</t>
  </si>
  <si>
    <t>153 ( Вагнер)</t>
  </si>
  <si>
    <t>Пудинг творожный запеченный</t>
  </si>
  <si>
    <t>212( Вагнер)</t>
  </si>
  <si>
    <t>44 (Вагнер)</t>
  </si>
  <si>
    <t>141 ( Вагнер)</t>
  </si>
  <si>
    <t>48 (Вагнер)</t>
  </si>
  <si>
    <t>92 (Вагнер)</t>
  </si>
  <si>
    <t>167 (Вагнер)</t>
  </si>
  <si>
    <t>112 (Вагнер)</t>
  </si>
  <si>
    <t>180 (Вагнер)</t>
  </si>
  <si>
    <t>37 (Вагнер)</t>
  </si>
  <si>
    <t>42 (Вагнер)</t>
  </si>
  <si>
    <t>45 (Вагнер)</t>
  </si>
  <si>
    <t>178 (Вагнер)</t>
  </si>
  <si>
    <t>114 (Вагнер)</t>
  </si>
  <si>
    <t>191 (Вагнер)</t>
  </si>
  <si>
    <t>47 (Вагнер)</t>
  </si>
  <si>
    <t>Суп картофельный  с макаронными изделиями</t>
  </si>
  <si>
    <t>б</t>
  </si>
  <si>
    <t>ж</t>
  </si>
  <si>
    <t>462 (Хлебпроднформ)</t>
  </si>
  <si>
    <t>Молоко кипяченое (жирность 2,5 %;3,2 %)</t>
  </si>
  <si>
    <t>Молоко кипяченое( жирность 2,5 %,3,2 %)</t>
  </si>
  <si>
    <t>Молоко кипяченое ( жирность 2,5 %, 3,2 %)</t>
  </si>
  <si>
    <t>Фрукт ( груша)</t>
  </si>
  <si>
    <t>Фрукт (апельсин)</t>
  </si>
  <si>
    <t>45/45</t>
  </si>
  <si>
    <t>6. Микроэлементный и витаминный состав рецептур блюд и кулинарных изделий 2009 г.</t>
  </si>
  <si>
    <t xml:space="preserve">Кофейный напиток </t>
  </si>
  <si>
    <t>498(Хлебпродинформ)</t>
  </si>
  <si>
    <t>Котлеты рубленые из птицы</t>
  </si>
  <si>
    <t xml:space="preserve">Тефтели </t>
  </si>
  <si>
    <t>786 (Хлебпродинформ)</t>
  </si>
  <si>
    <t>Булочка Творожная</t>
  </si>
  <si>
    <t>594 (Сборник рецептур блюд и кулинарных изделий для предприятий общественного питания 2003 г.Москва, Киев)</t>
  </si>
  <si>
    <t>124 (Вагнер)</t>
  </si>
  <si>
    <t>326 (Вагнер)</t>
  </si>
  <si>
    <t>Оладьи с изюмом</t>
  </si>
  <si>
    <t>388  (Хлебпроднформ)</t>
  </si>
  <si>
    <t>5. Сборник рецептур блюд и кулинарных изделий для предприятий общественного питания, Киев, Москва 2003 год. Здобнов А.И.,Цыганенко В.А.,Пересичный М.И.</t>
  </si>
  <si>
    <t>25/250</t>
  </si>
  <si>
    <t>516 (Хлебпроднформ)</t>
  </si>
  <si>
    <t>684/685 (Хлебпроднформ)</t>
  </si>
  <si>
    <t>508 (Хлебпродинформ)</t>
  </si>
  <si>
    <t>Макароны запеченные с сыром</t>
  </si>
  <si>
    <t>601 ( Сборник рецептур блюд и кулинарных изделий Москва, Киев 2003 г.)</t>
  </si>
  <si>
    <t>520 (Хлебпроднформ)</t>
  </si>
  <si>
    <t>590 (Сборник рецептур блюд и кулинарных изделий для предприятий общественного питания 2003 г.Москва, Киев)</t>
  </si>
  <si>
    <t>239 (Вагнер)</t>
  </si>
  <si>
    <t>Картофель отварной</t>
  </si>
  <si>
    <t>132 (Вагнер)</t>
  </si>
  <si>
    <t>Итого  за завтрак</t>
  </si>
  <si>
    <t>Икра кабачковая</t>
  </si>
  <si>
    <t>232 (Вагнер)</t>
  </si>
  <si>
    <t>Булочка майская</t>
  </si>
  <si>
    <t>Итого за обед</t>
  </si>
  <si>
    <t>Итого за полдник</t>
  </si>
  <si>
    <t>Фрукт (яблоко или мандарин)</t>
  </si>
  <si>
    <t>ИТОГО      за  двенадцать дней</t>
  </si>
  <si>
    <t>Каша "Дружба"</t>
  </si>
  <si>
    <t>102 ( Вагнера)</t>
  </si>
  <si>
    <t xml:space="preserve"> Свинина,окорок и другие мясопродукты тушенные с капустой</t>
  </si>
  <si>
    <t xml:space="preserve"> 63 ( Вагнер)</t>
  </si>
  <si>
    <t>Щи со свежей капусты с картофелем</t>
  </si>
  <si>
    <t>Ватрушка с творогом</t>
  </si>
  <si>
    <t>132 (вагнер)</t>
  </si>
  <si>
    <t>Булочка "Майская"</t>
  </si>
  <si>
    <t>Молоко кипяченое ( жирность 2,5 %, 3,2 %) в инд. упаковке</t>
  </si>
  <si>
    <t>4. Санитарно-эпидемиологические требования к организации общественного питания населения 2.3./2.4.3590-20</t>
  </si>
  <si>
    <t>Овощи натуральные  ( огурцы)</t>
  </si>
  <si>
    <t>246 (Вагнер)</t>
  </si>
  <si>
    <t>229 (Вагнер)</t>
  </si>
  <si>
    <t>Батон</t>
  </si>
  <si>
    <t>Овощи натуральные  ( помидоры)</t>
  </si>
  <si>
    <t>512  (Хлебпродинформ)</t>
  </si>
  <si>
    <t>Рис припущенный</t>
  </si>
  <si>
    <t>Какао с молоком</t>
  </si>
  <si>
    <t>693(Хлебпроднформ)</t>
  </si>
  <si>
    <t>250/5</t>
  </si>
  <si>
    <t>Кисло-молочный продукт  ( жирность 2,5 %, 3,2 %)</t>
  </si>
  <si>
    <t>Кукуруза консервированная отварная</t>
  </si>
  <si>
    <t>Пряники</t>
  </si>
  <si>
    <t>Каша гречневая вязкая на молоке</t>
  </si>
  <si>
    <t>104 (Вагнер)</t>
  </si>
  <si>
    <t>Каша манная молочная жидкая</t>
  </si>
  <si>
    <t>107 (Вагнер)</t>
  </si>
  <si>
    <t>Показатель      по усредненному дню</t>
  </si>
  <si>
    <t>10\75</t>
  </si>
  <si>
    <t>70/72</t>
  </si>
  <si>
    <t>200/50</t>
  </si>
  <si>
    <t>100/5</t>
  </si>
  <si>
    <t>508  (Хлебпродинформ)</t>
  </si>
  <si>
    <t>708 ( Сборник рецептур блюд и кулинаоных изделий Москва, Киев 2003 г.)</t>
  </si>
  <si>
    <t xml:space="preserve"> Меню приготавляемых блюд ( возрастная категория 11 лет и старше)</t>
  </si>
  <si>
    <t>Средние показатели энергетической ценности и химического состава рациона питания детей 11 лет и старше</t>
  </si>
  <si>
    <t>Расчёт биологической и энергетической ценности, витаминного и                                                                                                                           микроэлементного состава по усреднённому дню   ( 11 лет и старше)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</si>
</sst>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7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1" fontId="6" fillId="33" borderId="1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0" fontId="6" fillId="33" borderId="17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 wrapText="1"/>
    </xf>
    <xf numFmtId="172" fontId="6" fillId="33" borderId="17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2" fontId="2" fillId="0" borderId="19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2" fontId="4" fillId="0" borderId="22" xfId="0" applyNumberFormat="1" applyFont="1" applyFill="1" applyBorder="1" applyAlignment="1">
      <alignment vertical="center" wrapText="1"/>
    </xf>
    <xf numFmtId="2" fontId="4" fillId="0" borderId="23" xfId="0" applyNumberFormat="1" applyFont="1" applyFill="1" applyBorder="1" applyAlignment="1">
      <alignment vertical="center" wrapText="1"/>
    </xf>
    <xf numFmtId="0" fontId="4" fillId="0" borderId="24" xfId="0" applyFont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2" fontId="5" fillId="0" borderId="18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4" fillId="0" borderId="24" xfId="0" applyNumberFormat="1" applyFont="1" applyFill="1" applyBorder="1" applyAlignment="1">
      <alignment vertical="center" wrapText="1"/>
    </xf>
    <xf numFmtId="0" fontId="5" fillId="0" borderId="24" xfId="0" applyFont="1" applyBorder="1" applyAlignment="1">
      <alignment horizontal="left" vertical="center" wrapText="1"/>
    </xf>
    <xf numFmtId="2" fontId="4" fillId="0" borderId="18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vertical="center" wrapText="1"/>
    </xf>
    <xf numFmtId="0" fontId="4" fillId="19" borderId="10" xfId="0" applyFont="1" applyFill="1" applyBorder="1" applyAlignment="1">
      <alignment horizontal="center" vertical="center"/>
    </xf>
    <xf numFmtId="2" fontId="4" fillId="19" borderId="10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/>
    </xf>
    <xf numFmtId="0" fontId="5" fillId="19" borderId="10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horizontal="center" vertical="center"/>
    </xf>
    <xf numFmtId="2" fontId="5" fillId="19" borderId="10" xfId="0" applyNumberFormat="1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vertical="center" wrapText="1"/>
    </xf>
    <xf numFmtId="172" fontId="4" fillId="19" borderId="10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2" fontId="5" fillId="19" borderId="10" xfId="0" applyNumberFormat="1" applyFont="1" applyFill="1" applyBorder="1" applyAlignment="1">
      <alignment horizontal="center"/>
    </xf>
    <xf numFmtId="172" fontId="5" fillId="19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 wrapText="1"/>
    </xf>
    <xf numFmtId="172" fontId="2" fillId="0" borderId="29" xfId="0" applyNumberFormat="1" applyFont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 wrapText="1"/>
    </xf>
    <xf numFmtId="2" fontId="4" fillId="0" borderId="29" xfId="0" applyNumberFormat="1" applyFont="1" applyFill="1" applyBorder="1" applyAlignment="1">
      <alignment vertical="center" wrapText="1"/>
    </xf>
    <xf numFmtId="2" fontId="5" fillId="0" borderId="29" xfId="0" applyNumberFormat="1" applyFont="1" applyFill="1" applyBorder="1" applyAlignment="1">
      <alignment vertical="center" wrapText="1"/>
    </xf>
    <xf numFmtId="2" fontId="4" fillId="0" borderId="29" xfId="0" applyNumberFormat="1" applyFont="1" applyFill="1" applyBorder="1" applyAlignment="1">
      <alignment vertical="center"/>
    </xf>
    <xf numFmtId="172" fontId="2" fillId="0" borderId="32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70" fontId="3" fillId="0" borderId="33" xfId="42" applyFont="1" applyBorder="1" applyAlignment="1">
      <alignment horizontal="center" wrapText="1"/>
    </xf>
    <xf numFmtId="170" fontId="3" fillId="0" borderId="34" xfId="42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46"/>
  <sheetViews>
    <sheetView tabSelected="1" view="pageBreakPreview" zoomScale="60" zoomScaleNormal="90" zoomScalePageLayoutView="0" workbookViewId="0" topLeftCell="A37">
      <selection activeCell="G191" sqref="G191"/>
    </sheetView>
  </sheetViews>
  <sheetFormatPr defaultColWidth="9.00390625" defaultRowHeight="15"/>
  <cols>
    <col min="1" max="1" width="89.57421875" style="13" customWidth="1"/>
    <col min="2" max="2" width="17.00390625" style="13" customWidth="1"/>
    <col min="3" max="5" width="17.00390625" style="71" customWidth="1"/>
    <col min="6" max="6" width="26.57421875" style="71" customWidth="1"/>
    <col min="7" max="7" width="47.140625" style="13" customWidth="1"/>
    <col min="8" max="9" width="9.00390625" style="13" customWidth="1"/>
    <col min="10" max="10" width="14.28125" style="13" bestFit="1" customWidth="1"/>
    <col min="11" max="11" width="17.28125" style="13" bestFit="1" customWidth="1"/>
    <col min="12" max="12" width="9.421875" style="13" bestFit="1" customWidth="1"/>
    <col min="13" max="16384" width="9.00390625" style="13" customWidth="1"/>
  </cols>
  <sheetData>
    <row r="1" spans="1:7" s="23" customFormat="1" ht="29.25" customHeight="1">
      <c r="A1" s="140" t="s">
        <v>220</v>
      </c>
      <c r="B1" s="141"/>
      <c r="C1" s="141"/>
      <c r="D1" s="141"/>
      <c r="E1" s="141"/>
      <c r="F1" s="141"/>
      <c r="G1" s="141"/>
    </row>
    <row r="2" spans="1:7" s="24" customFormat="1" ht="44.25" customHeight="1">
      <c r="A2" s="142" t="s">
        <v>34</v>
      </c>
      <c r="B2" s="143"/>
      <c r="C2" s="143"/>
      <c r="D2" s="143"/>
      <c r="E2" s="143"/>
      <c r="F2" s="143"/>
      <c r="G2" s="143"/>
    </row>
    <row r="3" spans="1:7" s="24" customFormat="1" ht="14.25" customHeight="1">
      <c r="A3" s="137" t="s">
        <v>33</v>
      </c>
      <c r="B3" s="135" t="s">
        <v>31</v>
      </c>
      <c r="C3" s="138" t="s">
        <v>0</v>
      </c>
      <c r="D3" s="138"/>
      <c r="E3" s="138"/>
      <c r="F3" s="138" t="s">
        <v>32</v>
      </c>
      <c r="G3" s="135" t="s">
        <v>25</v>
      </c>
    </row>
    <row r="4" spans="1:7" s="23" customFormat="1" ht="22.5" customHeight="1">
      <c r="A4" s="136"/>
      <c r="B4" s="136"/>
      <c r="C4" s="25" t="s">
        <v>1</v>
      </c>
      <c r="D4" s="25" t="s">
        <v>2</v>
      </c>
      <c r="E4" s="25" t="s">
        <v>3</v>
      </c>
      <c r="F4" s="139"/>
      <c r="G4" s="136"/>
    </row>
    <row r="5" spans="1:7" s="23" customFormat="1" ht="22.5" customHeight="1">
      <c r="A5" s="27"/>
      <c r="B5" s="27"/>
      <c r="C5" s="25"/>
      <c r="D5" s="25"/>
      <c r="E5" s="25"/>
      <c r="F5" s="25"/>
      <c r="G5" s="26"/>
    </row>
    <row r="6" spans="1:7" s="24" customFormat="1" ht="33" customHeight="1">
      <c r="A6" s="28" t="s">
        <v>60</v>
      </c>
      <c r="B6" s="132" t="s">
        <v>61</v>
      </c>
      <c r="C6" s="133"/>
      <c r="D6" s="133"/>
      <c r="E6" s="29"/>
      <c r="F6" s="29"/>
      <c r="G6" s="135"/>
    </row>
    <row r="7" spans="1:7" ht="19.5" customHeight="1">
      <c r="A7" s="144" t="s">
        <v>4</v>
      </c>
      <c r="B7" s="145"/>
      <c r="C7" s="145"/>
      <c r="D7" s="145"/>
      <c r="E7" s="145"/>
      <c r="F7" s="145"/>
      <c r="G7" s="136"/>
    </row>
    <row r="8" spans="1:7" ht="31.5" customHeight="1">
      <c r="A8" s="4" t="s">
        <v>209</v>
      </c>
      <c r="B8" s="3" t="s">
        <v>205</v>
      </c>
      <c r="C8" s="12">
        <f>7.44/2*2.5</f>
        <v>9.3</v>
      </c>
      <c r="D8" s="12">
        <f>8.07/2*2.5</f>
        <v>10.0875</v>
      </c>
      <c r="E8" s="12">
        <f>35.28/2*2.5</f>
        <v>44.1</v>
      </c>
      <c r="F8" s="12">
        <f>243.92/2*2.5</f>
        <v>304.9</v>
      </c>
      <c r="G8" s="1" t="s">
        <v>210</v>
      </c>
    </row>
    <row r="9" spans="1:7" ht="37.5" customHeight="1">
      <c r="A9" s="4" t="s">
        <v>92</v>
      </c>
      <c r="B9" s="5" t="s">
        <v>214</v>
      </c>
      <c r="C9" s="12">
        <v>1.7</v>
      </c>
      <c r="D9" s="12">
        <v>5.1</v>
      </c>
      <c r="E9" s="12">
        <v>10.26</v>
      </c>
      <c r="F9" s="12">
        <v>183.6</v>
      </c>
      <c r="G9" s="3" t="s">
        <v>124</v>
      </c>
    </row>
    <row r="10" spans="1:7" ht="31.5" customHeight="1">
      <c r="A10" s="4" t="s">
        <v>41</v>
      </c>
      <c r="B10" s="3">
        <v>20</v>
      </c>
      <c r="C10" s="12">
        <f>6.96/3*2</f>
        <v>4.64</v>
      </c>
      <c r="D10" s="12">
        <f>8.85/3*2</f>
        <v>5.8999999999999995</v>
      </c>
      <c r="E10" s="12" t="s">
        <v>123</v>
      </c>
      <c r="F10" s="12">
        <f>109.2/3*2</f>
        <v>72.8</v>
      </c>
      <c r="G10" s="3" t="s">
        <v>83</v>
      </c>
    </row>
    <row r="11" spans="1:7" s="30" customFormat="1" ht="49.5" customHeight="1">
      <c r="A11" s="7" t="s">
        <v>155</v>
      </c>
      <c r="B11" s="8">
        <v>200</v>
      </c>
      <c r="C11" s="21">
        <v>1.4</v>
      </c>
      <c r="D11" s="21">
        <v>1.6</v>
      </c>
      <c r="E11" s="21">
        <v>17.35</v>
      </c>
      <c r="F11" s="21">
        <v>89.32</v>
      </c>
      <c r="G11" s="6" t="s">
        <v>84</v>
      </c>
    </row>
    <row r="12" spans="1:7" ht="21.75" customHeight="1">
      <c r="A12" s="103" t="s">
        <v>178</v>
      </c>
      <c r="B12" s="104">
        <f>255+85+20+200</f>
        <v>560</v>
      </c>
      <c r="C12" s="105">
        <f>SUM(C8:C11)</f>
        <v>17.04</v>
      </c>
      <c r="D12" s="105">
        <f>SUM(D8:D11)</f>
        <v>22.6875</v>
      </c>
      <c r="E12" s="105">
        <f>SUM(E8:E11)</f>
        <v>71.71000000000001</v>
      </c>
      <c r="F12" s="105">
        <f>SUM(F8:F11)</f>
        <v>650.6199999999999</v>
      </c>
      <c r="G12" s="106"/>
    </row>
    <row r="13" spans="1:7" ht="21" customHeight="1">
      <c r="A13" s="144" t="s">
        <v>5</v>
      </c>
      <c r="B13" s="145"/>
      <c r="C13" s="145"/>
      <c r="D13" s="145"/>
      <c r="E13" s="145"/>
      <c r="F13" s="145"/>
      <c r="G13" s="2"/>
    </row>
    <row r="14" spans="1:7" ht="36.75" customHeight="1">
      <c r="A14" s="4" t="s">
        <v>196</v>
      </c>
      <c r="B14" s="3">
        <v>100</v>
      </c>
      <c r="C14" s="12">
        <v>0.8</v>
      </c>
      <c r="D14" s="12">
        <v>0.1</v>
      </c>
      <c r="E14" s="12">
        <f>1.65*2</f>
        <v>3.3</v>
      </c>
      <c r="F14" s="12">
        <v>14</v>
      </c>
      <c r="G14" s="3" t="s">
        <v>197</v>
      </c>
    </row>
    <row r="15" spans="1:7" ht="42" customHeight="1">
      <c r="A15" s="4" t="s">
        <v>81</v>
      </c>
      <c r="B15" s="3">
        <v>250</v>
      </c>
      <c r="C15" s="12">
        <v>2.45</v>
      </c>
      <c r="D15" s="12">
        <v>4.89</v>
      </c>
      <c r="E15" s="12">
        <v>13.91</v>
      </c>
      <c r="F15" s="12">
        <v>109.38</v>
      </c>
      <c r="G15" s="1" t="s">
        <v>107</v>
      </c>
    </row>
    <row r="16" spans="1:7" ht="69.75" customHeight="1">
      <c r="A16" s="4" t="s">
        <v>114</v>
      </c>
      <c r="B16" s="3">
        <v>200</v>
      </c>
      <c r="C16" s="12">
        <v>24.33</v>
      </c>
      <c r="D16" s="12">
        <v>20.69</v>
      </c>
      <c r="E16" s="12">
        <v>33.71</v>
      </c>
      <c r="F16" s="12">
        <v>418.37</v>
      </c>
      <c r="G16" s="1" t="s">
        <v>172</v>
      </c>
    </row>
    <row r="17" spans="1:7" ht="45.75" customHeight="1">
      <c r="A17" s="4" t="s">
        <v>86</v>
      </c>
      <c r="B17" s="3">
        <v>200</v>
      </c>
      <c r="C17" s="12">
        <v>2</v>
      </c>
      <c r="D17" s="12">
        <v>0.2</v>
      </c>
      <c r="E17" s="12">
        <v>5.8</v>
      </c>
      <c r="F17" s="12">
        <v>36</v>
      </c>
      <c r="G17" s="3" t="s">
        <v>87</v>
      </c>
    </row>
    <row r="18" spans="1:7" ht="33.75" customHeight="1">
      <c r="A18" s="4" t="s">
        <v>35</v>
      </c>
      <c r="B18" s="3" t="s">
        <v>215</v>
      </c>
      <c r="C18" s="12">
        <v>11.76</v>
      </c>
      <c r="D18" s="12">
        <f>0.89/90*142</f>
        <v>1.4042222222222223</v>
      </c>
      <c r="E18" s="12">
        <v>86.8</v>
      </c>
      <c r="F18" s="12">
        <v>101.2</v>
      </c>
      <c r="G18" s="2" t="s">
        <v>40</v>
      </c>
    </row>
    <row r="19" spans="1:7" ht="24.75" customHeight="1">
      <c r="A19" s="103" t="s">
        <v>182</v>
      </c>
      <c r="B19" s="104">
        <f>100+250+400+142</f>
        <v>892</v>
      </c>
      <c r="C19" s="105">
        <f>SUM(C14:C18)</f>
        <v>41.339999999999996</v>
      </c>
      <c r="D19" s="105">
        <f>SUM(D14:D18)</f>
        <v>27.284222222222223</v>
      </c>
      <c r="E19" s="105">
        <f>SUM(E14:E18)</f>
        <v>143.51999999999998</v>
      </c>
      <c r="F19" s="105">
        <f>SUM(F14:F18)</f>
        <v>678.95</v>
      </c>
      <c r="G19" s="106"/>
    </row>
    <row r="20" spans="1:7" ht="41.25" customHeight="1">
      <c r="A20" s="144" t="s">
        <v>6</v>
      </c>
      <c r="B20" s="145"/>
      <c r="C20" s="145"/>
      <c r="D20" s="145"/>
      <c r="E20" s="145"/>
      <c r="F20" s="145"/>
      <c r="G20" s="2"/>
    </row>
    <row r="21" spans="1:7" ht="51" customHeight="1">
      <c r="A21" s="4" t="s">
        <v>148</v>
      </c>
      <c r="B21" s="3">
        <v>200</v>
      </c>
      <c r="C21" s="12">
        <v>5.59</v>
      </c>
      <c r="D21" s="12">
        <v>6.38</v>
      </c>
      <c r="E21" s="12">
        <v>9.38</v>
      </c>
      <c r="F21" s="12">
        <v>117.31</v>
      </c>
      <c r="G21" s="3" t="s">
        <v>88</v>
      </c>
    </row>
    <row r="22" spans="1:7" ht="38.25" customHeight="1">
      <c r="A22" s="4" t="s">
        <v>181</v>
      </c>
      <c r="B22" s="9">
        <v>150</v>
      </c>
      <c r="C22" s="12">
        <v>6.65</v>
      </c>
      <c r="D22" s="12">
        <v>1.8</v>
      </c>
      <c r="E22" s="12">
        <v>27.8</v>
      </c>
      <c r="F22" s="12">
        <v>77.5</v>
      </c>
      <c r="G22" s="9" t="s">
        <v>40</v>
      </c>
    </row>
    <row r="23" spans="1:7" ht="35.25" customHeight="1">
      <c r="A23" s="107" t="s">
        <v>183</v>
      </c>
      <c r="B23" s="108">
        <v>350</v>
      </c>
      <c r="C23" s="109">
        <f>SUM(C21:C22)</f>
        <v>12.24</v>
      </c>
      <c r="D23" s="109">
        <f>SUM(D21:D22)</f>
        <v>8.18</v>
      </c>
      <c r="E23" s="109">
        <f>SUM(E21:E22)</f>
        <v>37.18</v>
      </c>
      <c r="F23" s="109">
        <f>SUM(F21:F22)</f>
        <v>194.81</v>
      </c>
      <c r="G23" s="110"/>
    </row>
    <row r="24" spans="1:7" ht="42.75" customHeight="1">
      <c r="A24" s="107" t="s">
        <v>24</v>
      </c>
      <c r="B24" s="108"/>
      <c r="C24" s="109">
        <f>C12+C19+C23</f>
        <v>70.61999999999999</v>
      </c>
      <c r="D24" s="109">
        <f>D12+D19+D23</f>
        <v>58.151722222222226</v>
      </c>
      <c r="E24" s="109">
        <f>E12+E19+E23</f>
        <v>252.41</v>
      </c>
      <c r="F24" s="109">
        <f>F12+F19+F23</f>
        <v>1524.3799999999999</v>
      </c>
      <c r="G24" s="110"/>
    </row>
    <row r="25" spans="1:7" ht="19.5" customHeight="1">
      <c r="A25" s="28" t="s">
        <v>60</v>
      </c>
      <c r="B25" s="132" t="s">
        <v>61</v>
      </c>
      <c r="C25" s="133"/>
      <c r="D25" s="133"/>
      <c r="E25" s="29"/>
      <c r="F25" s="29"/>
      <c r="G25" s="31"/>
    </row>
    <row r="26" spans="1:7" ht="19.5" customHeight="1">
      <c r="A26" s="28" t="s">
        <v>62</v>
      </c>
      <c r="B26" s="133" t="s">
        <v>63</v>
      </c>
      <c r="C26" s="133"/>
      <c r="D26" s="133"/>
      <c r="E26" s="29"/>
      <c r="F26" s="29"/>
      <c r="G26" s="31"/>
    </row>
    <row r="27" spans="1:7" ht="21.75" customHeight="1">
      <c r="A27" s="137" t="s">
        <v>33</v>
      </c>
      <c r="B27" s="137" t="s">
        <v>31</v>
      </c>
      <c r="C27" s="138" t="s">
        <v>0</v>
      </c>
      <c r="D27" s="138"/>
      <c r="E27" s="138"/>
      <c r="F27" s="138" t="s">
        <v>32</v>
      </c>
      <c r="G27" s="135" t="s">
        <v>25</v>
      </c>
    </row>
    <row r="28" spans="1:7" ht="28.5" customHeight="1">
      <c r="A28" s="136"/>
      <c r="B28" s="136"/>
      <c r="C28" s="25" t="s">
        <v>1</v>
      </c>
      <c r="D28" s="25" t="s">
        <v>2</v>
      </c>
      <c r="E28" s="25" t="s">
        <v>3</v>
      </c>
      <c r="F28" s="139"/>
      <c r="G28" s="136"/>
    </row>
    <row r="29" spans="1:7" ht="19.5" customHeight="1">
      <c r="A29" s="144" t="s">
        <v>7</v>
      </c>
      <c r="B29" s="145"/>
      <c r="C29" s="145"/>
      <c r="D29" s="145"/>
      <c r="E29" s="145"/>
      <c r="F29" s="145"/>
      <c r="G29" s="2"/>
    </row>
    <row r="30" spans="1:7" ht="19.5" customHeight="1">
      <c r="A30" s="144" t="s">
        <v>8</v>
      </c>
      <c r="B30" s="145"/>
      <c r="C30" s="145"/>
      <c r="D30" s="145"/>
      <c r="E30" s="145"/>
      <c r="F30" s="145"/>
      <c r="G30" s="2"/>
    </row>
    <row r="31" spans="1:7" ht="52.5" customHeight="1">
      <c r="A31" s="14" t="s">
        <v>171</v>
      </c>
      <c r="B31" s="8">
        <v>250</v>
      </c>
      <c r="C31" s="12">
        <v>5.3</v>
      </c>
      <c r="D31" s="12">
        <v>12.5</v>
      </c>
      <c r="E31" s="12">
        <v>8.71</v>
      </c>
      <c r="F31" s="12">
        <v>225.54</v>
      </c>
      <c r="G31" s="2" t="s">
        <v>162</v>
      </c>
    </row>
    <row r="32" spans="1:7" ht="45" customHeight="1">
      <c r="A32" s="4" t="s">
        <v>92</v>
      </c>
      <c r="B32" s="5" t="s">
        <v>214</v>
      </c>
      <c r="C32" s="12">
        <v>1.7</v>
      </c>
      <c r="D32" s="12">
        <v>5.1</v>
      </c>
      <c r="E32" s="12">
        <v>10.26</v>
      </c>
      <c r="F32" s="12">
        <v>183.6</v>
      </c>
      <c r="G32" s="3" t="s">
        <v>124</v>
      </c>
    </row>
    <row r="33" spans="1:7" ht="61.5" customHeight="1">
      <c r="A33" s="4" t="s">
        <v>90</v>
      </c>
      <c r="B33" s="3" t="s">
        <v>91</v>
      </c>
      <c r="C33" s="12">
        <v>0.2</v>
      </c>
      <c r="D33" s="12" t="s">
        <v>123</v>
      </c>
      <c r="E33" s="12">
        <v>15</v>
      </c>
      <c r="F33" s="12">
        <v>58</v>
      </c>
      <c r="G33" s="9" t="s">
        <v>169</v>
      </c>
    </row>
    <row r="34" spans="1:7" ht="27" customHeight="1">
      <c r="A34" s="103" t="s">
        <v>178</v>
      </c>
      <c r="B34" s="104">
        <f>250+85+215</f>
        <v>550</v>
      </c>
      <c r="C34" s="105">
        <f>SUM(C31:C33)</f>
        <v>7.2</v>
      </c>
      <c r="D34" s="105">
        <f>SUM(D31:D33)</f>
        <v>17.6</v>
      </c>
      <c r="E34" s="105">
        <f>SUM(E31:E33)</f>
        <v>33.97</v>
      </c>
      <c r="F34" s="105">
        <f>SUM(F31:F33)</f>
        <v>467.14</v>
      </c>
      <c r="G34" s="106"/>
    </row>
    <row r="35" spans="1:7" ht="19.5" customHeight="1">
      <c r="A35" s="144" t="s">
        <v>5</v>
      </c>
      <c r="B35" s="145"/>
      <c r="C35" s="145"/>
      <c r="D35" s="145"/>
      <c r="E35" s="145"/>
      <c r="F35" s="145"/>
      <c r="G35" s="2"/>
    </row>
    <row r="36" spans="1:7" ht="52.5" customHeight="1">
      <c r="A36" s="4" t="s">
        <v>179</v>
      </c>
      <c r="B36" s="3">
        <v>100</v>
      </c>
      <c r="C36" s="12">
        <f>2.73/2</f>
        <v>1.365</v>
      </c>
      <c r="D36" s="12">
        <f>10.45/2</f>
        <v>5.225</v>
      </c>
      <c r="E36" s="12">
        <f>14.72/2</f>
        <v>7.36</v>
      </c>
      <c r="F36" s="12">
        <f>157.3/2</f>
        <v>78.65</v>
      </c>
      <c r="G36" s="3" t="s">
        <v>180</v>
      </c>
    </row>
    <row r="37" spans="1:7" ht="56.25" customHeight="1">
      <c r="A37" s="4" t="s">
        <v>45</v>
      </c>
      <c r="B37" s="3">
        <v>250</v>
      </c>
      <c r="C37" s="12">
        <v>2.34</v>
      </c>
      <c r="D37" s="12">
        <v>3.89</v>
      </c>
      <c r="E37" s="12">
        <v>13.61</v>
      </c>
      <c r="F37" s="12">
        <v>98.79</v>
      </c>
      <c r="G37" s="6" t="s">
        <v>139</v>
      </c>
    </row>
    <row r="38" spans="1:7" ht="120.75" customHeight="1">
      <c r="A38" s="4" t="s">
        <v>188</v>
      </c>
      <c r="B38" s="3">
        <v>200</v>
      </c>
      <c r="C38" s="12">
        <f>10.2*0.8</f>
        <v>8.16</v>
      </c>
      <c r="D38" s="12">
        <f>24.6*0.8</f>
        <v>19.680000000000003</v>
      </c>
      <c r="E38" s="12">
        <f>16.8*0.8</f>
        <v>13.440000000000001</v>
      </c>
      <c r="F38" s="12">
        <f>332*0.8</f>
        <v>265.6</v>
      </c>
      <c r="G38" s="1" t="s">
        <v>161</v>
      </c>
    </row>
    <row r="39" spans="1:7" ht="50.25" customHeight="1">
      <c r="A39" s="4" t="s">
        <v>101</v>
      </c>
      <c r="B39" s="3">
        <v>200</v>
      </c>
      <c r="C39" s="12">
        <v>0.33</v>
      </c>
      <c r="D39" s="12" t="s">
        <v>123</v>
      </c>
      <c r="E39" s="12">
        <v>22.66</v>
      </c>
      <c r="F39" s="12">
        <v>91.98</v>
      </c>
      <c r="G39" s="1" t="s">
        <v>100</v>
      </c>
    </row>
    <row r="40" spans="1:7" ht="33.75" customHeight="1">
      <c r="A40" s="4" t="s">
        <v>35</v>
      </c>
      <c r="B40" s="3" t="s">
        <v>215</v>
      </c>
      <c r="C40" s="12">
        <v>11.76</v>
      </c>
      <c r="D40" s="12">
        <f>0.89/90*142</f>
        <v>1.4042222222222223</v>
      </c>
      <c r="E40" s="12">
        <v>86.8</v>
      </c>
      <c r="F40" s="12">
        <v>101.2</v>
      </c>
      <c r="G40" s="2" t="s">
        <v>40</v>
      </c>
    </row>
    <row r="41" spans="1:7" ht="30.75" customHeight="1">
      <c r="A41" s="103" t="s">
        <v>182</v>
      </c>
      <c r="B41" s="104">
        <f>100+650+70+72</f>
        <v>892</v>
      </c>
      <c r="C41" s="105">
        <f>SUM(C35:C40)</f>
        <v>23.955</v>
      </c>
      <c r="D41" s="105">
        <f>SUM(D35:D40)</f>
        <v>30.199222222222225</v>
      </c>
      <c r="E41" s="105">
        <f>SUM(E35:E40)</f>
        <v>143.87</v>
      </c>
      <c r="F41" s="105">
        <f>SUM(F35:F40)</f>
        <v>636.22</v>
      </c>
      <c r="G41" s="106"/>
    </row>
    <row r="42" spans="1:7" ht="19.5" customHeight="1">
      <c r="A42" s="144" t="s">
        <v>9</v>
      </c>
      <c r="B42" s="145"/>
      <c r="C42" s="145"/>
      <c r="D42" s="145"/>
      <c r="E42" s="145"/>
      <c r="F42" s="145"/>
      <c r="G42" s="2"/>
    </row>
    <row r="43" spans="1:7" ht="31.5" customHeight="1">
      <c r="A43" s="4" t="s">
        <v>206</v>
      </c>
      <c r="B43" s="3">
        <v>200</v>
      </c>
      <c r="C43" s="12">
        <v>5.6</v>
      </c>
      <c r="D43" s="12">
        <v>6.38</v>
      </c>
      <c r="E43" s="12">
        <v>8.18</v>
      </c>
      <c r="F43" s="12">
        <v>112.52</v>
      </c>
      <c r="G43" s="3" t="s">
        <v>97</v>
      </c>
    </row>
    <row r="44" spans="1:7" ht="23.25" customHeight="1">
      <c r="A44" s="4" t="s">
        <v>14</v>
      </c>
      <c r="B44" s="2">
        <v>150</v>
      </c>
      <c r="C44" s="1">
        <v>1.95</v>
      </c>
      <c r="D44" s="1">
        <v>1.3</v>
      </c>
      <c r="E44" s="1">
        <v>31.25</v>
      </c>
      <c r="F44" s="1">
        <v>71</v>
      </c>
      <c r="G44" s="2" t="s">
        <v>40</v>
      </c>
    </row>
    <row r="45" spans="1:7" ht="19.5" customHeight="1">
      <c r="A45" s="107" t="s">
        <v>183</v>
      </c>
      <c r="B45" s="108">
        <v>350</v>
      </c>
      <c r="C45" s="109">
        <f>SUM(C43:C44)</f>
        <v>7.55</v>
      </c>
      <c r="D45" s="109">
        <f>SUM(D43:D44)</f>
        <v>7.68</v>
      </c>
      <c r="E45" s="109">
        <f>SUM(E43:E44)</f>
        <v>39.43</v>
      </c>
      <c r="F45" s="109">
        <f>SUM(F43:F44)</f>
        <v>183.51999999999998</v>
      </c>
      <c r="G45" s="110"/>
    </row>
    <row r="46" spans="1:7" ht="19.5" customHeight="1">
      <c r="A46" s="107" t="s">
        <v>24</v>
      </c>
      <c r="B46" s="108"/>
      <c r="C46" s="109">
        <f>C45+C41+C34</f>
        <v>38.705</v>
      </c>
      <c r="D46" s="109">
        <f>D45+D41+D34</f>
        <v>55.479222222222226</v>
      </c>
      <c r="E46" s="109">
        <f>E45+E41+E34</f>
        <v>217.27</v>
      </c>
      <c r="F46" s="109">
        <f>F45+F41+F34</f>
        <v>1286.88</v>
      </c>
      <c r="G46" s="110"/>
    </row>
    <row r="47" spans="1:7" ht="19.5" customHeight="1">
      <c r="A47" s="33"/>
      <c r="B47" s="34"/>
      <c r="C47" s="35"/>
      <c r="D47" s="36"/>
      <c r="E47" s="37"/>
      <c r="F47" s="37"/>
      <c r="G47" s="32"/>
    </row>
    <row r="48" spans="1:7" ht="19.5" customHeight="1">
      <c r="A48" s="28" t="s">
        <v>60</v>
      </c>
      <c r="B48" s="132" t="s">
        <v>61</v>
      </c>
      <c r="C48" s="133"/>
      <c r="D48" s="133"/>
      <c r="E48" s="29"/>
      <c r="F48" s="29"/>
      <c r="G48" s="31"/>
    </row>
    <row r="49" spans="1:7" ht="19.5" customHeight="1">
      <c r="A49" s="28" t="s">
        <v>62</v>
      </c>
      <c r="B49" s="133" t="s">
        <v>63</v>
      </c>
      <c r="C49" s="133"/>
      <c r="D49" s="133"/>
      <c r="E49" s="29"/>
      <c r="F49" s="29"/>
      <c r="G49" s="31"/>
    </row>
    <row r="50" spans="1:7" ht="19.5" customHeight="1">
      <c r="A50" s="137" t="s">
        <v>33</v>
      </c>
      <c r="B50" s="137" t="s">
        <v>31</v>
      </c>
      <c r="C50" s="138" t="s">
        <v>0</v>
      </c>
      <c r="D50" s="138"/>
      <c r="E50" s="138"/>
      <c r="F50" s="138" t="s">
        <v>32</v>
      </c>
      <c r="G50" s="135" t="s">
        <v>25</v>
      </c>
    </row>
    <row r="51" spans="1:7" ht="32.25" customHeight="1">
      <c r="A51" s="136"/>
      <c r="B51" s="136"/>
      <c r="C51" s="25" t="s">
        <v>1</v>
      </c>
      <c r="D51" s="25" t="s">
        <v>2</v>
      </c>
      <c r="E51" s="25" t="s">
        <v>3</v>
      </c>
      <c r="F51" s="139"/>
      <c r="G51" s="136"/>
    </row>
    <row r="52" spans="1:7" ht="19.5" customHeight="1">
      <c r="A52" s="144" t="s">
        <v>11</v>
      </c>
      <c r="B52" s="145"/>
      <c r="C52" s="145"/>
      <c r="D52" s="145"/>
      <c r="E52" s="145"/>
      <c r="F52" s="145"/>
      <c r="G52" s="2"/>
    </row>
    <row r="53" spans="1:7" ht="19.5" customHeight="1">
      <c r="A53" s="144" t="s">
        <v>8</v>
      </c>
      <c r="B53" s="145"/>
      <c r="C53" s="145"/>
      <c r="D53" s="145"/>
      <c r="E53" s="145"/>
      <c r="F53" s="145"/>
      <c r="G53" s="2"/>
    </row>
    <row r="54" spans="1:7" ht="32.25" customHeight="1">
      <c r="A54" s="18" t="s">
        <v>111</v>
      </c>
      <c r="B54" s="3" t="s">
        <v>216</v>
      </c>
      <c r="C54" s="12">
        <f>29.22/1.5*2</f>
        <v>38.96</v>
      </c>
      <c r="D54" s="12">
        <f>12.11/1.5*2</f>
        <v>16.146666666666665</v>
      </c>
      <c r="E54" s="12">
        <f>29.1/1.5*2</f>
        <v>38.800000000000004</v>
      </c>
      <c r="F54" s="12">
        <f>342.23/1.5*2</f>
        <v>456.3066666666667</v>
      </c>
      <c r="G54" s="9" t="s">
        <v>131</v>
      </c>
    </row>
    <row r="55" spans="1:7" ht="32.25" customHeight="1">
      <c r="A55" s="4" t="s">
        <v>203</v>
      </c>
      <c r="B55" s="3">
        <v>200</v>
      </c>
      <c r="C55" s="12">
        <v>3.77</v>
      </c>
      <c r="D55" s="12">
        <v>3.93</v>
      </c>
      <c r="E55" s="12">
        <v>25.95</v>
      </c>
      <c r="F55" s="12">
        <v>153.02</v>
      </c>
      <c r="G55" s="9" t="s">
        <v>204</v>
      </c>
    </row>
    <row r="56" spans="1:7" ht="32.25" customHeight="1">
      <c r="A56" s="4" t="s">
        <v>199</v>
      </c>
      <c r="B56" s="3">
        <v>100</v>
      </c>
      <c r="C56" s="12">
        <v>11.76</v>
      </c>
      <c r="D56" s="12">
        <f>0.89/90*142</f>
        <v>1.4042222222222223</v>
      </c>
      <c r="E56" s="12">
        <v>86.8</v>
      </c>
      <c r="F56" s="12">
        <v>101.2</v>
      </c>
      <c r="G56" s="2" t="s">
        <v>40</v>
      </c>
    </row>
    <row r="57" spans="1:7" ht="30.75" customHeight="1">
      <c r="A57" s="103" t="s">
        <v>178</v>
      </c>
      <c r="B57" s="104">
        <v>550</v>
      </c>
      <c r="C57" s="105">
        <f>SUM(C54:C56)</f>
        <v>54.49</v>
      </c>
      <c r="D57" s="105">
        <f>SUM(D54:D56)</f>
        <v>21.480888888888888</v>
      </c>
      <c r="E57" s="105">
        <f>SUM(E54:E56)</f>
        <v>151.55</v>
      </c>
      <c r="F57" s="105">
        <f>SUM(F54:F56)</f>
        <v>710.5266666666668</v>
      </c>
      <c r="G57" s="106"/>
    </row>
    <row r="58" spans="1:7" ht="19.5" customHeight="1">
      <c r="A58" s="144" t="s">
        <v>12</v>
      </c>
      <c r="B58" s="145"/>
      <c r="C58" s="145"/>
      <c r="D58" s="145"/>
      <c r="E58" s="145"/>
      <c r="F58" s="145"/>
      <c r="G58" s="2"/>
    </row>
    <row r="59" spans="1:7" ht="41.25" customHeight="1">
      <c r="A59" s="4" t="s">
        <v>126</v>
      </c>
      <c r="B59" s="3">
        <v>100</v>
      </c>
      <c r="C59" s="12">
        <f>3.13</f>
        <v>3.13</v>
      </c>
      <c r="D59" s="12">
        <v>3.29</v>
      </c>
      <c r="E59" s="12">
        <v>6.99</v>
      </c>
      <c r="F59" s="12">
        <v>77.88</v>
      </c>
      <c r="G59" s="3" t="s">
        <v>198</v>
      </c>
    </row>
    <row r="60" spans="1:7" ht="45" customHeight="1">
      <c r="A60" s="4" t="s">
        <v>53</v>
      </c>
      <c r="B60" s="3">
        <v>250</v>
      </c>
      <c r="C60" s="12">
        <v>1.93</v>
      </c>
      <c r="D60" s="12">
        <v>6.34</v>
      </c>
      <c r="E60" s="12">
        <v>10.05</v>
      </c>
      <c r="F60" s="12">
        <v>104.16</v>
      </c>
      <c r="G60" s="3" t="s">
        <v>94</v>
      </c>
    </row>
    <row r="61" spans="1:7" ht="45" customHeight="1">
      <c r="A61" s="4" t="s">
        <v>56</v>
      </c>
      <c r="B61" s="2" t="s">
        <v>217</v>
      </c>
      <c r="C61" s="22">
        <f>18.22/7*10</f>
        <v>26.02857142857143</v>
      </c>
      <c r="D61" s="22">
        <f>18.22/7*10</f>
        <v>26.02857142857143</v>
      </c>
      <c r="E61" s="22">
        <f>0.97/7*10</f>
        <v>1.3857142857142857</v>
      </c>
      <c r="F61" s="22">
        <f>242.68/7*10</f>
        <v>346.6857142857143</v>
      </c>
      <c r="G61" s="1" t="s">
        <v>129</v>
      </c>
    </row>
    <row r="62" spans="1:7" ht="58.5" customHeight="1">
      <c r="A62" s="4" t="s">
        <v>202</v>
      </c>
      <c r="B62" s="3">
        <v>200</v>
      </c>
      <c r="C62" s="12">
        <f>4.8</f>
        <v>4.8</v>
      </c>
      <c r="D62" s="12">
        <v>8</v>
      </c>
      <c r="E62" s="12">
        <f>24.7*2</f>
        <v>49.4</v>
      </c>
      <c r="F62" s="12">
        <f>147*2</f>
        <v>294</v>
      </c>
      <c r="G62" s="9" t="s">
        <v>201</v>
      </c>
    </row>
    <row r="63" spans="1:7" ht="45.75" customHeight="1">
      <c r="A63" s="4" t="s">
        <v>108</v>
      </c>
      <c r="B63" s="3">
        <v>200</v>
      </c>
      <c r="C63" s="12">
        <v>0.33</v>
      </c>
      <c r="D63" s="12" t="s">
        <v>123</v>
      </c>
      <c r="E63" s="12">
        <v>22.66</v>
      </c>
      <c r="F63" s="12">
        <v>91.98</v>
      </c>
      <c r="G63" s="9" t="s">
        <v>100</v>
      </c>
    </row>
    <row r="64" spans="1:7" ht="33.75" customHeight="1">
      <c r="A64" s="4" t="s">
        <v>35</v>
      </c>
      <c r="B64" s="3" t="s">
        <v>215</v>
      </c>
      <c r="C64" s="12">
        <v>11.76</v>
      </c>
      <c r="D64" s="12">
        <f>0.89/90*142</f>
        <v>1.4042222222222223</v>
      </c>
      <c r="E64" s="12">
        <v>86.8</v>
      </c>
      <c r="F64" s="12">
        <v>101.2</v>
      </c>
      <c r="G64" s="2" t="s">
        <v>40</v>
      </c>
    </row>
    <row r="65" spans="1:7" ht="36" customHeight="1">
      <c r="A65" s="103" t="s">
        <v>182</v>
      </c>
      <c r="B65" s="111">
        <f>100+355+400+70+72</f>
        <v>997</v>
      </c>
      <c r="C65" s="105">
        <f>SUM(C59:C64)</f>
        <v>47.97857142857142</v>
      </c>
      <c r="D65" s="105">
        <f>SUM(D59:D64)</f>
        <v>45.06279365079365</v>
      </c>
      <c r="E65" s="105">
        <f>SUM(E59:E64)</f>
        <v>177.28571428571428</v>
      </c>
      <c r="F65" s="105">
        <f>SUM(F59:F64)</f>
        <v>1015.9057142857143</v>
      </c>
      <c r="G65" s="106"/>
    </row>
    <row r="66" spans="1:7" ht="19.5" customHeight="1">
      <c r="A66" s="144" t="s">
        <v>9</v>
      </c>
      <c r="B66" s="145"/>
      <c r="C66" s="145"/>
      <c r="D66" s="145"/>
      <c r="E66" s="145"/>
      <c r="F66" s="145"/>
      <c r="G66" s="2"/>
    </row>
    <row r="67" spans="1:7" ht="26.25" customHeight="1">
      <c r="A67" s="4" t="s">
        <v>191</v>
      </c>
      <c r="B67" s="2">
        <v>60</v>
      </c>
      <c r="C67" s="1">
        <v>7.08</v>
      </c>
      <c r="D67" s="1">
        <v>2.63</v>
      </c>
      <c r="E67" s="1">
        <v>41.81</v>
      </c>
      <c r="F67" s="1">
        <v>219.07</v>
      </c>
      <c r="G67" s="2" t="s">
        <v>40</v>
      </c>
    </row>
    <row r="68" spans="1:7" ht="19.5" customHeight="1">
      <c r="A68" s="4" t="s">
        <v>184</v>
      </c>
      <c r="B68" s="3" t="s">
        <v>80</v>
      </c>
      <c r="C68" s="12">
        <v>2</v>
      </c>
      <c r="D68" s="12">
        <v>12</v>
      </c>
      <c r="E68" s="12">
        <v>84</v>
      </c>
      <c r="F68" s="12">
        <v>117.5</v>
      </c>
      <c r="G68" s="2" t="s">
        <v>40</v>
      </c>
    </row>
    <row r="69" spans="1:7" ht="34.5" customHeight="1">
      <c r="A69" s="4" t="s">
        <v>148</v>
      </c>
      <c r="B69" s="3">
        <v>200</v>
      </c>
      <c r="C69" s="12">
        <v>5.59</v>
      </c>
      <c r="D69" s="12">
        <v>6.38</v>
      </c>
      <c r="E69" s="12">
        <v>9.38</v>
      </c>
      <c r="F69" s="12">
        <v>117.31</v>
      </c>
      <c r="G69" s="2" t="s">
        <v>88</v>
      </c>
    </row>
    <row r="70" spans="1:7" ht="28.5" customHeight="1">
      <c r="A70" s="107" t="s">
        <v>183</v>
      </c>
      <c r="B70" s="108">
        <v>400</v>
      </c>
      <c r="C70" s="109">
        <f>SUM(C67:C69)</f>
        <v>14.67</v>
      </c>
      <c r="D70" s="109">
        <f>SUM(D67:D69)</f>
        <v>21.009999999999998</v>
      </c>
      <c r="E70" s="109">
        <f>SUM(E67:E69)</f>
        <v>135.19</v>
      </c>
      <c r="F70" s="109">
        <f>SUM(F67:F69)</f>
        <v>453.88</v>
      </c>
      <c r="G70" s="110"/>
    </row>
    <row r="71" spans="1:7" ht="19.5" customHeight="1">
      <c r="A71" s="107" t="s">
        <v>24</v>
      </c>
      <c r="B71" s="108"/>
      <c r="C71" s="109">
        <f>C57+C65+C70</f>
        <v>117.13857142857142</v>
      </c>
      <c r="D71" s="109">
        <f>D57+D65+D70</f>
        <v>87.55368253968254</v>
      </c>
      <c r="E71" s="109">
        <f>E57+E65+E70</f>
        <v>464.0257142857143</v>
      </c>
      <c r="F71" s="109">
        <f>F57+F65+F70</f>
        <v>2180.3123809523813</v>
      </c>
      <c r="G71" s="110"/>
    </row>
    <row r="72" spans="1:7" ht="19.5" customHeight="1">
      <c r="A72" s="38"/>
      <c r="B72" s="39"/>
      <c r="C72" s="40"/>
      <c r="D72" s="41"/>
      <c r="E72" s="42"/>
      <c r="F72" s="42"/>
      <c r="G72" s="32"/>
    </row>
    <row r="73" spans="1:7" ht="19.5" customHeight="1">
      <c r="A73" s="28" t="s">
        <v>60</v>
      </c>
      <c r="B73" s="132" t="s">
        <v>61</v>
      </c>
      <c r="C73" s="133"/>
      <c r="D73" s="133"/>
      <c r="E73" s="29"/>
      <c r="F73" s="29"/>
      <c r="G73" s="31"/>
    </row>
    <row r="74" spans="1:7" ht="19.5" customHeight="1">
      <c r="A74" s="28" t="s">
        <v>62</v>
      </c>
      <c r="B74" s="133" t="s">
        <v>63</v>
      </c>
      <c r="C74" s="133"/>
      <c r="D74" s="133"/>
      <c r="E74" s="29"/>
      <c r="F74" s="29"/>
      <c r="G74" s="31"/>
    </row>
    <row r="75" spans="1:7" ht="19.5" customHeight="1">
      <c r="A75" s="137" t="s">
        <v>33</v>
      </c>
      <c r="B75" s="137" t="s">
        <v>31</v>
      </c>
      <c r="C75" s="138" t="s">
        <v>0</v>
      </c>
      <c r="D75" s="138"/>
      <c r="E75" s="138"/>
      <c r="F75" s="138" t="s">
        <v>32</v>
      </c>
      <c r="G75" s="135" t="s">
        <v>25</v>
      </c>
    </row>
    <row r="76" spans="1:7" ht="19.5" customHeight="1">
      <c r="A76" s="136"/>
      <c r="B76" s="136"/>
      <c r="C76" s="25" t="s">
        <v>1</v>
      </c>
      <c r="D76" s="25" t="s">
        <v>2</v>
      </c>
      <c r="E76" s="25" t="s">
        <v>3</v>
      </c>
      <c r="F76" s="139"/>
      <c r="G76" s="136"/>
    </row>
    <row r="77" spans="1:7" ht="19.5" customHeight="1">
      <c r="A77" s="144" t="s">
        <v>13</v>
      </c>
      <c r="B77" s="145"/>
      <c r="C77" s="145"/>
      <c r="D77" s="145"/>
      <c r="E77" s="145"/>
      <c r="F77" s="145"/>
      <c r="G77" s="2"/>
    </row>
    <row r="78" spans="1:7" ht="19.5" customHeight="1">
      <c r="A78" s="144" t="s">
        <v>8</v>
      </c>
      <c r="B78" s="145"/>
      <c r="C78" s="145"/>
      <c r="D78" s="145"/>
      <c r="E78" s="145"/>
      <c r="F78" s="145"/>
      <c r="G78" s="2"/>
    </row>
    <row r="79" spans="1:7" ht="37.5" customHeight="1">
      <c r="A79" s="4" t="s">
        <v>186</v>
      </c>
      <c r="B79" s="3" t="s">
        <v>205</v>
      </c>
      <c r="C79" s="12">
        <f>6.55/2*2.5</f>
        <v>8.1875</v>
      </c>
      <c r="D79" s="12">
        <f>8.33/2*2.5</f>
        <v>10.4125</v>
      </c>
      <c r="E79" s="12">
        <f>35.09/2*2.5</f>
        <v>43.862500000000004</v>
      </c>
      <c r="F79" s="12">
        <f>241.11/2*2.5</f>
        <v>301.38750000000005</v>
      </c>
      <c r="G79" s="3" t="s">
        <v>187</v>
      </c>
    </row>
    <row r="80" spans="1:7" ht="31.5" customHeight="1">
      <c r="A80" s="4" t="s">
        <v>41</v>
      </c>
      <c r="B80" s="3">
        <v>20</v>
      </c>
      <c r="C80" s="12">
        <f>6.96/3*2</f>
        <v>4.64</v>
      </c>
      <c r="D80" s="12">
        <f>8.85/3*2</f>
        <v>5.8999999999999995</v>
      </c>
      <c r="E80" s="12" t="s">
        <v>123</v>
      </c>
      <c r="F80" s="12">
        <f>109.2/3*2</f>
        <v>72.8</v>
      </c>
      <c r="G80" s="3" t="s">
        <v>83</v>
      </c>
    </row>
    <row r="81" spans="1:7" ht="37.5" customHeight="1">
      <c r="A81" s="4" t="s">
        <v>92</v>
      </c>
      <c r="B81" s="5" t="s">
        <v>93</v>
      </c>
      <c r="C81" s="12">
        <v>1.7</v>
      </c>
      <c r="D81" s="12">
        <v>5.1</v>
      </c>
      <c r="E81" s="12">
        <v>10.26</v>
      </c>
      <c r="F81" s="12">
        <v>183.6</v>
      </c>
      <c r="G81" s="3" t="s">
        <v>124</v>
      </c>
    </row>
    <row r="82" spans="1:7" ht="48.75" customHeight="1">
      <c r="A82" s="4" t="s">
        <v>37</v>
      </c>
      <c r="B82" s="3" t="s">
        <v>104</v>
      </c>
      <c r="C82" s="43">
        <v>0.07</v>
      </c>
      <c r="D82" s="12">
        <v>0.01</v>
      </c>
      <c r="E82" s="12">
        <v>15.31</v>
      </c>
      <c r="F82" s="12">
        <v>61.62</v>
      </c>
      <c r="G82" s="1" t="s">
        <v>103</v>
      </c>
    </row>
    <row r="83" spans="1:7" ht="24.75" customHeight="1">
      <c r="A83" s="103" t="s">
        <v>178</v>
      </c>
      <c r="B83" s="104">
        <f>255+20+60+215+7</f>
        <v>557</v>
      </c>
      <c r="C83" s="105">
        <f>SUM(C79:C82)</f>
        <v>14.5975</v>
      </c>
      <c r="D83" s="112">
        <f>SUM(D79:D82)</f>
        <v>21.422500000000003</v>
      </c>
      <c r="E83" s="112">
        <f>SUM(E79:E82)</f>
        <v>69.4325</v>
      </c>
      <c r="F83" s="105">
        <f>SUM(F79:F82)</f>
        <v>619.4075</v>
      </c>
      <c r="G83" s="106"/>
    </row>
    <row r="84" spans="1:7" ht="19.5" customHeight="1">
      <c r="A84" s="144" t="s">
        <v>12</v>
      </c>
      <c r="B84" s="145"/>
      <c r="C84" s="145"/>
      <c r="D84" s="145"/>
      <c r="E84" s="145"/>
      <c r="F84" s="145"/>
      <c r="G84" s="2"/>
    </row>
    <row r="85" spans="1:7" ht="37.5" customHeight="1">
      <c r="A85" s="4" t="s">
        <v>105</v>
      </c>
      <c r="B85" s="3">
        <v>100</v>
      </c>
      <c r="C85" s="12">
        <v>1.68</v>
      </c>
      <c r="D85" s="12">
        <v>9.07</v>
      </c>
      <c r="E85" s="12">
        <v>10.39</v>
      </c>
      <c r="F85" s="12">
        <v>130.94</v>
      </c>
      <c r="G85" s="1" t="s">
        <v>106</v>
      </c>
    </row>
    <row r="86" spans="1:7" ht="50.25" customHeight="1">
      <c r="A86" s="4" t="s">
        <v>144</v>
      </c>
      <c r="B86" s="3">
        <v>250</v>
      </c>
      <c r="C86" s="12">
        <v>2.83</v>
      </c>
      <c r="D86" s="12">
        <v>2.86</v>
      </c>
      <c r="E86" s="12">
        <v>21.76</v>
      </c>
      <c r="F86" s="12">
        <v>124.09</v>
      </c>
      <c r="G86" s="1" t="s">
        <v>143</v>
      </c>
    </row>
    <row r="87" spans="1:7" ht="37.5" customHeight="1">
      <c r="A87" s="4" t="s">
        <v>36</v>
      </c>
      <c r="B87" s="3">
        <v>100</v>
      </c>
      <c r="C87" s="12">
        <v>17.5</v>
      </c>
      <c r="D87" s="12">
        <v>6.1</v>
      </c>
      <c r="E87" s="12">
        <v>2.99</v>
      </c>
      <c r="F87" s="12">
        <v>136.51</v>
      </c>
      <c r="G87" s="9" t="s">
        <v>142</v>
      </c>
    </row>
    <row r="88" spans="1:7" ht="37.5" customHeight="1">
      <c r="A88" s="4" t="s">
        <v>95</v>
      </c>
      <c r="B88" s="3">
        <v>200</v>
      </c>
      <c r="C88" s="12">
        <f>5.8*2</f>
        <v>11.6</v>
      </c>
      <c r="D88" s="12">
        <f>5.2*2</f>
        <v>10.4</v>
      </c>
      <c r="E88" s="12">
        <f>28.4*2</f>
        <v>56.8</v>
      </c>
      <c r="F88" s="12">
        <f>186*2</f>
        <v>372</v>
      </c>
      <c r="G88" s="62" t="s">
        <v>170</v>
      </c>
    </row>
    <row r="89" spans="1:7" ht="48.75" customHeight="1">
      <c r="A89" s="4" t="s">
        <v>86</v>
      </c>
      <c r="B89" s="3">
        <v>200</v>
      </c>
      <c r="C89" s="12">
        <v>2</v>
      </c>
      <c r="D89" s="12">
        <v>0.2</v>
      </c>
      <c r="E89" s="12">
        <v>5.8</v>
      </c>
      <c r="F89" s="12">
        <v>36</v>
      </c>
      <c r="G89" s="3" t="s">
        <v>87</v>
      </c>
    </row>
    <row r="90" spans="1:7" ht="33.75" customHeight="1">
      <c r="A90" s="4" t="s">
        <v>35</v>
      </c>
      <c r="B90" s="3" t="s">
        <v>215</v>
      </c>
      <c r="C90" s="12">
        <v>11.76</v>
      </c>
      <c r="D90" s="12">
        <f>0.89/90*142</f>
        <v>1.4042222222222223</v>
      </c>
      <c r="E90" s="12">
        <v>86.8</v>
      </c>
      <c r="F90" s="12">
        <v>101.2</v>
      </c>
      <c r="G90" s="2" t="s">
        <v>40</v>
      </c>
    </row>
    <row r="91" spans="1:7" ht="33" customHeight="1">
      <c r="A91" s="103" t="s">
        <v>182</v>
      </c>
      <c r="B91" s="104">
        <f>100+250+500+70+72</f>
        <v>992</v>
      </c>
      <c r="C91" s="105">
        <f>SUM(C85:C90)</f>
        <v>47.37</v>
      </c>
      <c r="D91" s="105">
        <f>SUM(D85:D90)</f>
        <v>30.034222222222223</v>
      </c>
      <c r="E91" s="113">
        <f>SUM(E85:E90)</f>
        <v>184.54</v>
      </c>
      <c r="F91" s="112">
        <f>SUM(F85:F90)</f>
        <v>900.74</v>
      </c>
      <c r="G91" s="106"/>
    </row>
    <row r="92" spans="1:7" ht="19.5" customHeight="1">
      <c r="A92" s="144" t="s">
        <v>9</v>
      </c>
      <c r="B92" s="145"/>
      <c r="C92" s="145"/>
      <c r="D92" s="145"/>
      <c r="E92" s="145"/>
      <c r="F92" s="145"/>
      <c r="G92" s="2"/>
    </row>
    <row r="93" spans="1:7" ht="45.75" customHeight="1">
      <c r="A93" s="4" t="s">
        <v>206</v>
      </c>
      <c r="B93" s="3">
        <v>200</v>
      </c>
      <c r="C93" s="12">
        <v>5.6</v>
      </c>
      <c r="D93" s="12">
        <v>6.38</v>
      </c>
      <c r="E93" s="12">
        <v>8.18</v>
      </c>
      <c r="F93" s="12">
        <v>112.52</v>
      </c>
      <c r="G93" s="9" t="s">
        <v>110</v>
      </c>
    </row>
    <row r="94" spans="1:7" ht="32.25" customHeight="1">
      <c r="A94" s="10" t="s">
        <v>58</v>
      </c>
      <c r="B94" s="15">
        <v>150</v>
      </c>
      <c r="C94" s="21">
        <v>3.95</v>
      </c>
      <c r="D94" s="21">
        <v>4.7</v>
      </c>
      <c r="E94" s="21">
        <v>27.75</v>
      </c>
      <c r="F94" s="44">
        <v>169.5</v>
      </c>
      <c r="G94" s="2" t="s">
        <v>40</v>
      </c>
    </row>
    <row r="95" spans="1:7" ht="19.5" customHeight="1">
      <c r="A95" s="107" t="s">
        <v>183</v>
      </c>
      <c r="B95" s="108">
        <v>350</v>
      </c>
      <c r="C95" s="109">
        <f>SUM(C93:C94)</f>
        <v>9.55</v>
      </c>
      <c r="D95" s="109">
        <f>SUM(D93:D94)</f>
        <v>11.08</v>
      </c>
      <c r="E95" s="109">
        <f>SUM(E93:E94)</f>
        <v>35.93</v>
      </c>
      <c r="F95" s="109">
        <f>SUM(F93:F94)</f>
        <v>282.02</v>
      </c>
      <c r="G95" s="110"/>
    </row>
    <row r="96" spans="1:7" ht="19.5" customHeight="1">
      <c r="A96" s="107" t="s">
        <v>24</v>
      </c>
      <c r="B96" s="108"/>
      <c r="C96" s="109">
        <f>C83+C91+C95</f>
        <v>71.5175</v>
      </c>
      <c r="D96" s="109">
        <f>D83+D91+D95</f>
        <v>62.536722222222224</v>
      </c>
      <c r="E96" s="109">
        <f>E83+E91+E95</f>
        <v>289.9025</v>
      </c>
      <c r="F96" s="109">
        <f>F83+F91+F95</f>
        <v>1802.1675</v>
      </c>
      <c r="G96" s="110"/>
    </row>
    <row r="97" spans="1:7" ht="19.5" customHeight="1">
      <c r="A97" s="33"/>
      <c r="B97" s="34"/>
      <c r="C97" s="35"/>
      <c r="D97" s="35"/>
      <c r="E97" s="37"/>
      <c r="F97" s="37"/>
      <c r="G97" s="32"/>
    </row>
    <row r="98" spans="1:7" ht="19.5" customHeight="1">
      <c r="A98" s="28" t="s">
        <v>60</v>
      </c>
      <c r="B98" s="132" t="s">
        <v>61</v>
      </c>
      <c r="C98" s="133"/>
      <c r="D98" s="133"/>
      <c r="E98" s="29"/>
      <c r="F98" s="29"/>
      <c r="G98" s="31"/>
    </row>
    <row r="99" spans="1:7" ht="19.5" customHeight="1">
      <c r="A99" s="28" t="s">
        <v>62</v>
      </c>
      <c r="B99" s="133" t="s">
        <v>63</v>
      </c>
      <c r="C99" s="133"/>
      <c r="D99" s="133"/>
      <c r="E99" s="29"/>
      <c r="F99" s="29"/>
      <c r="G99" s="31"/>
    </row>
    <row r="100" spans="1:7" ht="19.5" customHeight="1">
      <c r="A100" s="137" t="s">
        <v>33</v>
      </c>
      <c r="B100" s="137" t="s">
        <v>31</v>
      </c>
      <c r="C100" s="138" t="s">
        <v>0</v>
      </c>
      <c r="D100" s="138"/>
      <c r="E100" s="138"/>
      <c r="F100" s="138" t="s">
        <v>32</v>
      </c>
      <c r="G100" s="135" t="s">
        <v>25</v>
      </c>
    </row>
    <row r="101" spans="1:7" ht="19.5" customHeight="1">
      <c r="A101" s="136"/>
      <c r="B101" s="136"/>
      <c r="C101" s="25" t="s">
        <v>1</v>
      </c>
      <c r="D101" s="25" t="s">
        <v>2</v>
      </c>
      <c r="E101" s="25" t="s">
        <v>3</v>
      </c>
      <c r="F101" s="139"/>
      <c r="G101" s="136"/>
    </row>
    <row r="102" spans="1:7" ht="19.5" customHeight="1">
      <c r="A102" s="144" t="s">
        <v>15</v>
      </c>
      <c r="B102" s="145"/>
      <c r="C102" s="145"/>
      <c r="D102" s="145"/>
      <c r="E102" s="145"/>
      <c r="F102" s="145"/>
      <c r="G102" s="2"/>
    </row>
    <row r="103" spans="1:7" ht="19.5" customHeight="1">
      <c r="A103" s="144" t="s">
        <v>8</v>
      </c>
      <c r="B103" s="145"/>
      <c r="C103" s="145"/>
      <c r="D103" s="145"/>
      <c r="E103" s="145"/>
      <c r="F103" s="145"/>
      <c r="G103" s="2"/>
    </row>
    <row r="104" spans="1:7" ht="39" customHeight="1">
      <c r="A104" s="4" t="s">
        <v>207</v>
      </c>
      <c r="B104" s="3">
        <v>50</v>
      </c>
      <c r="C104" s="12">
        <f>3.13/2</f>
        <v>1.565</v>
      </c>
      <c r="D104" s="12">
        <f>3.29/2</f>
        <v>1.645</v>
      </c>
      <c r="E104" s="12">
        <f>6.99/2</f>
        <v>3.495</v>
      </c>
      <c r="F104" s="12">
        <f>77.88/2</f>
        <v>38.94</v>
      </c>
      <c r="G104" s="3" t="s">
        <v>198</v>
      </c>
    </row>
    <row r="105" spans="1:7" ht="39" customHeight="1">
      <c r="A105" s="10" t="s">
        <v>55</v>
      </c>
      <c r="B105" s="2" t="s">
        <v>85</v>
      </c>
      <c r="C105" s="22">
        <f>5.82/63*200</f>
        <v>18.476190476190478</v>
      </c>
      <c r="D105" s="22">
        <f>9.02/63*200</f>
        <v>28.634920634920636</v>
      </c>
      <c r="E105" s="22">
        <f>1.52/63*200</f>
        <v>4.825396825396826</v>
      </c>
      <c r="F105" s="22">
        <f>110.54/63*200</f>
        <v>350.92063492063494</v>
      </c>
      <c r="G105" s="9" t="s">
        <v>192</v>
      </c>
    </row>
    <row r="106" spans="1:7" ht="30" customHeight="1">
      <c r="A106" s="4" t="s">
        <v>199</v>
      </c>
      <c r="B106" s="3">
        <v>100</v>
      </c>
      <c r="C106" s="12">
        <v>11.76</v>
      </c>
      <c r="D106" s="12">
        <f>0.89/90*142</f>
        <v>1.4042222222222223</v>
      </c>
      <c r="E106" s="12">
        <v>86.8</v>
      </c>
      <c r="F106" s="12">
        <v>101.2</v>
      </c>
      <c r="G106" s="2" t="s">
        <v>40</v>
      </c>
    </row>
    <row r="107" spans="1:7" s="30" customFormat="1" ht="42.75" customHeight="1">
      <c r="A107" s="7" t="s">
        <v>155</v>
      </c>
      <c r="B107" s="8">
        <v>200</v>
      </c>
      <c r="C107" s="21">
        <v>1.4</v>
      </c>
      <c r="D107" s="21">
        <v>1.6</v>
      </c>
      <c r="E107" s="21">
        <v>17.35</v>
      </c>
      <c r="F107" s="21">
        <v>89.32</v>
      </c>
      <c r="G107" s="6" t="s">
        <v>84</v>
      </c>
    </row>
    <row r="108" spans="1:7" ht="25.5" customHeight="1">
      <c r="A108" s="103" t="s">
        <v>178</v>
      </c>
      <c r="B108" s="104">
        <f>50+205+300</f>
        <v>555</v>
      </c>
      <c r="C108" s="105">
        <f>SUM(C104:C107)</f>
        <v>33.201190476190476</v>
      </c>
      <c r="D108" s="105">
        <f>SUM(D104:D107)</f>
        <v>33.28414285714286</v>
      </c>
      <c r="E108" s="105">
        <f>SUM(E104:E107)</f>
        <v>112.47039682539682</v>
      </c>
      <c r="F108" s="105">
        <f>SUM(F104:F107)</f>
        <v>580.380634920635</v>
      </c>
      <c r="G108" s="106"/>
    </row>
    <row r="109" spans="1:7" ht="19.5" customHeight="1">
      <c r="A109" s="144" t="s">
        <v>12</v>
      </c>
      <c r="B109" s="145"/>
      <c r="C109" s="145"/>
      <c r="D109" s="145"/>
      <c r="E109" s="145"/>
      <c r="F109" s="145"/>
      <c r="G109" s="2"/>
    </row>
    <row r="110" spans="1:7" ht="42.75" customHeight="1">
      <c r="A110" s="4" t="s">
        <v>200</v>
      </c>
      <c r="B110" s="3">
        <v>100</v>
      </c>
      <c r="C110" s="12">
        <v>1.1</v>
      </c>
      <c r="D110" s="12">
        <v>0.2</v>
      </c>
      <c r="E110" s="12">
        <v>4.6</v>
      </c>
      <c r="F110" s="12">
        <f>11.5*2</f>
        <v>23</v>
      </c>
      <c r="G110" s="3" t="s">
        <v>197</v>
      </c>
    </row>
    <row r="111" spans="1:7" ht="39" customHeight="1">
      <c r="A111" s="10" t="s">
        <v>82</v>
      </c>
      <c r="B111" s="2">
        <v>250</v>
      </c>
      <c r="C111" s="22">
        <v>1.93</v>
      </c>
      <c r="D111" s="22">
        <v>5.86</v>
      </c>
      <c r="E111" s="22">
        <v>12.59</v>
      </c>
      <c r="F111" s="22">
        <v>115.24</v>
      </c>
      <c r="G111" s="9" t="s">
        <v>130</v>
      </c>
    </row>
    <row r="112" spans="1:7" ht="41.25" customHeight="1">
      <c r="A112" s="4" t="s">
        <v>115</v>
      </c>
      <c r="B112" s="3" t="s">
        <v>217</v>
      </c>
      <c r="C112" s="12">
        <f>9.9/7*12.5</f>
        <v>17.67857142857143</v>
      </c>
      <c r="D112" s="12">
        <f>6.7/7*12.5</f>
        <v>11.964285714285715</v>
      </c>
      <c r="E112" s="12">
        <f>6.4/7*12.5</f>
        <v>11.428571428571429</v>
      </c>
      <c r="F112" s="12">
        <f>130.9/7*12.5</f>
        <v>233.75</v>
      </c>
      <c r="G112" s="1" t="s">
        <v>165</v>
      </c>
    </row>
    <row r="113" spans="1:7" ht="37.5" customHeight="1">
      <c r="A113" s="4" t="s">
        <v>109</v>
      </c>
      <c r="B113" s="3">
        <v>200</v>
      </c>
      <c r="C113" s="12">
        <f>2.13*2</f>
        <v>4.26</v>
      </c>
      <c r="D113" s="12">
        <v>8.08</v>
      </c>
      <c r="E113" s="12">
        <f>15.53*2</f>
        <v>31.06</v>
      </c>
      <c r="F113" s="12">
        <f>106.97*2</f>
        <v>213.94</v>
      </c>
      <c r="G113" s="9" t="s">
        <v>173</v>
      </c>
    </row>
    <row r="114" spans="1:7" ht="42" customHeight="1">
      <c r="A114" s="4" t="s">
        <v>122</v>
      </c>
      <c r="B114" s="3">
        <v>200</v>
      </c>
      <c r="C114" s="12">
        <v>0.56</v>
      </c>
      <c r="D114" s="12" t="s">
        <v>123</v>
      </c>
      <c r="E114" s="12">
        <v>27.89</v>
      </c>
      <c r="F114" s="12">
        <v>113.79</v>
      </c>
      <c r="G114" s="1" t="s">
        <v>121</v>
      </c>
    </row>
    <row r="115" spans="1:7" ht="33.75" customHeight="1">
      <c r="A115" s="4" t="s">
        <v>35</v>
      </c>
      <c r="B115" s="3" t="s">
        <v>215</v>
      </c>
      <c r="C115" s="12">
        <v>11.76</v>
      </c>
      <c r="D115" s="12">
        <f>0.89/90*142</f>
        <v>1.4042222222222223</v>
      </c>
      <c r="E115" s="12">
        <v>86.8</v>
      </c>
      <c r="F115" s="12">
        <v>101.2</v>
      </c>
      <c r="G115" s="2" t="s">
        <v>40</v>
      </c>
    </row>
    <row r="116" spans="1:7" ht="28.5" customHeight="1">
      <c r="A116" s="103" t="s">
        <v>182</v>
      </c>
      <c r="B116" s="104">
        <f>100+250+105+200+200+70+72</f>
        <v>997</v>
      </c>
      <c r="C116" s="105">
        <f>SUM(C110:C115)</f>
        <v>37.28857142857143</v>
      </c>
      <c r="D116" s="113">
        <f>SUM(D110:D115)</f>
        <v>27.50850793650794</v>
      </c>
      <c r="E116" s="113">
        <f>SUM(E110:E115)</f>
        <v>174.36857142857144</v>
      </c>
      <c r="F116" s="112">
        <f>SUM(F110:F115)</f>
        <v>800.9200000000001</v>
      </c>
      <c r="G116" s="106"/>
    </row>
    <row r="117" spans="1:7" ht="19.5" customHeight="1">
      <c r="A117" s="144" t="s">
        <v>9</v>
      </c>
      <c r="B117" s="145"/>
      <c r="C117" s="145"/>
      <c r="D117" s="145"/>
      <c r="E117" s="145"/>
      <c r="F117" s="145"/>
      <c r="G117" s="2"/>
    </row>
    <row r="118" spans="1:7" ht="31.5" customHeight="1">
      <c r="A118" s="4" t="s">
        <v>206</v>
      </c>
      <c r="B118" s="3">
        <v>200</v>
      </c>
      <c r="C118" s="12">
        <v>5.6</v>
      </c>
      <c r="D118" s="12">
        <v>6.38</v>
      </c>
      <c r="E118" s="12">
        <v>8.18</v>
      </c>
      <c r="F118" s="12">
        <v>112.52</v>
      </c>
      <c r="G118" s="2" t="s">
        <v>97</v>
      </c>
    </row>
    <row r="119" spans="1:7" ht="27" customHeight="1">
      <c r="A119" s="14" t="s">
        <v>208</v>
      </c>
      <c r="B119" s="15">
        <v>150</v>
      </c>
      <c r="C119" s="21">
        <v>4.09</v>
      </c>
      <c r="D119" s="21">
        <v>1.02</v>
      </c>
      <c r="E119" s="21">
        <v>40.6</v>
      </c>
      <c r="F119" s="44">
        <v>142.1</v>
      </c>
      <c r="G119" s="17" t="s">
        <v>40</v>
      </c>
    </row>
    <row r="120" spans="1:7" ht="19.5" customHeight="1">
      <c r="A120" s="107" t="s">
        <v>183</v>
      </c>
      <c r="B120" s="108">
        <v>350</v>
      </c>
      <c r="C120" s="109">
        <f>SUM(C118:C119)</f>
        <v>9.69</v>
      </c>
      <c r="D120" s="109">
        <f>SUM(D118:D119)</f>
        <v>7.4</v>
      </c>
      <c r="E120" s="109">
        <f>SUM(E118:E119)</f>
        <v>48.78</v>
      </c>
      <c r="F120" s="109">
        <f>SUM(F118:F119)</f>
        <v>254.62</v>
      </c>
      <c r="G120" s="110"/>
    </row>
    <row r="121" spans="1:7" ht="19.5" customHeight="1">
      <c r="A121" s="107" t="s">
        <v>24</v>
      </c>
      <c r="B121" s="108"/>
      <c r="C121" s="109">
        <f>C108+C116+C120</f>
        <v>80.1797619047619</v>
      </c>
      <c r="D121" s="109">
        <f>D108+D116+D120</f>
        <v>68.1926507936508</v>
      </c>
      <c r="E121" s="109">
        <f>E108+E116+E120</f>
        <v>335.6189682539682</v>
      </c>
      <c r="F121" s="109">
        <f>F108+F116+F120</f>
        <v>1635.9206349206352</v>
      </c>
      <c r="G121" s="110"/>
    </row>
    <row r="122" spans="1:7" ht="19.5" customHeight="1">
      <c r="A122" s="33"/>
      <c r="B122" s="34"/>
      <c r="C122" s="35"/>
      <c r="D122" s="35"/>
      <c r="E122" s="37"/>
      <c r="F122" s="37"/>
      <c r="G122" s="32"/>
    </row>
    <row r="123" spans="1:7" ht="19.5" customHeight="1">
      <c r="A123" s="47"/>
      <c r="B123" s="48"/>
      <c r="C123" s="49"/>
      <c r="D123" s="49"/>
      <c r="E123" s="50"/>
      <c r="F123" s="50"/>
      <c r="G123" s="46"/>
    </row>
    <row r="124" spans="1:7" ht="24.75" customHeight="1">
      <c r="A124" s="28" t="s">
        <v>60</v>
      </c>
      <c r="B124" s="132" t="s">
        <v>61</v>
      </c>
      <c r="C124" s="133"/>
      <c r="D124" s="133"/>
      <c r="E124" s="29"/>
      <c r="F124" s="29"/>
      <c r="G124" s="31"/>
    </row>
    <row r="125" spans="1:7" ht="19.5" customHeight="1">
      <c r="A125" s="28" t="s">
        <v>62</v>
      </c>
      <c r="B125" s="133" t="s">
        <v>63</v>
      </c>
      <c r="C125" s="133"/>
      <c r="D125" s="133"/>
      <c r="E125" s="29"/>
      <c r="F125" s="29"/>
      <c r="G125" s="31"/>
    </row>
    <row r="126" spans="1:7" ht="19.5" customHeight="1">
      <c r="A126" s="146" t="s">
        <v>33</v>
      </c>
      <c r="B126" s="146" t="s">
        <v>31</v>
      </c>
      <c r="C126" s="139" t="s">
        <v>0</v>
      </c>
      <c r="D126" s="139"/>
      <c r="E126" s="139"/>
      <c r="F126" s="139" t="s">
        <v>32</v>
      </c>
      <c r="G126" s="135" t="s">
        <v>25</v>
      </c>
    </row>
    <row r="127" spans="1:7" ht="19.5" customHeight="1">
      <c r="A127" s="146"/>
      <c r="B127" s="146"/>
      <c r="C127" s="25" t="s">
        <v>1</v>
      </c>
      <c r="D127" s="25" t="s">
        <v>2</v>
      </c>
      <c r="E127" s="25" t="s">
        <v>3</v>
      </c>
      <c r="F127" s="139"/>
      <c r="G127" s="136"/>
    </row>
    <row r="128" spans="1:7" ht="19.5" customHeight="1">
      <c r="A128" s="146" t="s">
        <v>16</v>
      </c>
      <c r="B128" s="146"/>
      <c r="C128" s="146"/>
      <c r="D128" s="146"/>
      <c r="E128" s="146"/>
      <c r="F128" s="146"/>
      <c r="G128" s="2"/>
    </row>
    <row r="129" spans="1:7" ht="19.5" customHeight="1">
      <c r="A129" s="146" t="s">
        <v>8</v>
      </c>
      <c r="B129" s="146"/>
      <c r="C129" s="146"/>
      <c r="D129" s="146"/>
      <c r="E129" s="146"/>
      <c r="F129" s="146"/>
      <c r="G129" s="2"/>
    </row>
    <row r="130" spans="1:7" ht="64.5" customHeight="1">
      <c r="A130" s="4" t="s">
        <v>157</v>
      </c>
      <c r="B130" s="3" t="s">
        <v>217</v>
      </c>
      <c r="C130" s="12">
        <f>11.02/7*10</f>
        <v>15.742857142857144</v>
      </c>
      <c r="D130" s="12">
        <f>12.45/7*10</f>
        <v>17.785714285714285</v>
      </c>
      <c r="E130" s="12">
        <f>7.52/7*10</f>
        <v>10.742857142857144</v>
      </c>
      <c r="F130" s="12">
        <f>186.09/7*10</f>
        <v>265.84285714285716</v>
      </c>
      <c r="G130" s="9" t="s">
        <v>156</v>
      </c>
    </row>
    <row r="131" spans="1:7" ht="41.25" customHeight="1">
      <c r="A131" s="4" t="s">
        <v>39</v>
      </c>
      <c r="B131" s="3">
        <v>200</v>
      </c>
      <c r="C131" s="12">
        <f>3.68*2</f>
        <v>7.36</v>
      </c>
      <c r="D131" s="12">
        <f>3.53*2</f>
        <v>7.06</v>
      </c>
      <c r="E131" s="12">
        <f>23.55*2</f>
        <v>47.1</v>
      </c>
      <c r="F131" s="12">
        <f>140.73*2</f>
        <v>281.46</v>
      </c>
      <c r="G131" s="1" t="s">
        <v>168</v>
      </c>
    </row>
    <row r="132" spans="1:7" ht="42" customHeight="1">
      <c r="A132" s="4" t="s">
        <v>90</v>
      </c>
      <c r="B132" s="3" t="s">
        <v>91</v>
      </c>
      <c r="C132" s="12">
        <v>0.2</v>
      </c>
      <c r="D132" s="12" t="s">
        <v>123</v>
      </c>
      <c r="E132" s="12">
        <v>15</v>
      </c>
      <c r="F132" s="12">
        <v>58</v>
      </c>
      <c r="G132" s="1" t="s">
        <v>89</v>
      </c>
    </row>
    <row r="133" spans="1:7" ht="37.5" customHeight="1">
      <c r="A133" s="4" t="s">
        <v>199</v>
      </c>
      <c r="B133" s="3">
        <v>50</v>
      </c>
      <c r="C133" s="12">
        <v>11.76</v>
      </c>
      <c r="D133" s="12">
        <f>0.89/90*142</f>
        <v>1.4042222222222223</v>
      </c>
      <c r="E133" s="12">
        <v>86.8</v>
      </c>
      <c r="F133" s="12">
        <v>101.2</v>
      </c>
      <c r="G133" s="2" t="s">
        <v>40</v>
      </c>
    </row>
    <row r="134" spans="1:7" ht="25.5" customHeight="1">
      <c r="A134" s="103" t="s">
        <v>178</v>
      </c>
      <c r="B134" s="104">
        <f>105+200+215+50</f>
        <v>570</v>
      </c>
      <c r="C134" s="105">
        <f>SUM(C130:C133)</f>
        <v>35.06285714285714</v>
      </c>
      <c r="D134" s="112">
        <f>SUM(D130:D133)</f>
        <v>26.249936507936507</v>
      </c>
      <c r="E134" s="105">
        <f>SUM(E130:E133)</f>
        <v>159.64285714285714</v>
      </c>
      <c r="F134" s="105">
        <f>SUM(F130:F133)</f>
        <v>706.5028571428572</v>
      </c>
      <c r="G134" s="106"/>
    </row>
    <row r="135" spans="1:7" ht="19.5" customHeight="1">
      <c r="A135" s="144" t="s">
        <v>12</v>
      </c>
      <c r="B135" s="145"/>
      <c r="C135" s="145"/>
      <c r="D135" s="145"/>
      <c r="E135" s="145"/>
      <c r="F135" s="145"/>
      <c r="G135" s="2"/>
    </row>
    <row r="136" spans="1:7" ht="31.5" customHeight="1">
      <c r="A136" s="4" t="s">
        <v>54</v>
      </c>
      <c r="B136" s="3">
        <v>100</v>
      </c>
      <c r="C136" s="12">
        <f>4.54/2</f>
        <v>2.27</v>
      </c>
      <c r="D136" s="12">
        <f>15.14/2</f>
        <v>7.57</v>
      </c>
      <c r="E136" s="12">
        <f>27.23/2</f>
        <v>13.615</v>
      </c>
      <c r="F136" s="12">
        <f>239.18/2</f>
        <v>119.59</v>
      </c>
      <c r="G136" s="3" t="s">
        <v>125</v>
      </c>
    </row>
    <row r="137" spans="1:7" s="45" customFormat="1" ht="40.5" customHeight="1">
      <c r="A137" s="4" t="s">
        <v>52</v>
      </c>
      <c r="B137" s="3" t="s">
        <v>167</v>
      </c>
      <c r="C137" s="12">
        <v>9.76</v>
      </c>
      <c r="D137" s="12">
        <v>6.82</v>
      </c>
      <c r="E137" s="12">
        <v>19.01</v>
      </c>
      <c r="F137" s="12">
        <v>175.1</v>
      </c>
      <c r="G137" s="6" t="s">
        <v>132</v>
      </c>
    </row>
    <row r="138" spans="1:7" ht="43.5" customHeight="1">
      <c r="A138" s="4" t="s">
        <v>112</v>
      </c>
      <c r="B138" s="3">
        <v>200</v>
      </c>
      <c r="C138" s="12">
        <f>18.78/125*200</f>
        <v>30.048000000000002</v>
      </c>
      <c r="D138" s="12">
        <f>22.85/125*200</f>
        <v>36.56</v>
      </c>
      <c r="E138" s="12">
        <f>45.12/125*200</f>
        <v>72.19200000000001</v>
      </c>
      <c r="F138" s="12">
        <f>461.23/125*200</f>
        <v>737.9680000000001</v>
      </c>
      <c r="G138" s="9" t="s">
        <v>134</v>
      </c>
    </row>
    <row r="139" spans="1:7" ht="43.5" customHeight="1">
      <c r="A139" s="4" t="s">
        <v>113</v>
      </c>
      <c r="B139" s="3">
        <v>200</v>
      </c>
      <c r="C139" s="12">
        <v>3.72</v>
      </c>
      <c r="D139" s="12">
        <v>4.87</v>
      </c>
      <c r="E139" s="12">
        <v>22.57</v>
      </c>
      <c r="F139" s="12">
        <v>238.99</v>
      </c>
      <c r="G139" s="9" t="s">
        <v>133</v>
      </c>
    </row>
    <row r="140" spans="1:7" ht="45.75" customHeight="1">
      <c r="A140" s="4" t="s">
        <v>86</v>
      </c>
      <c r="B140" s="3">
        <v>200</v>
      </c>
      <c r="C140" s="12">
        <v>2</v>
      </c>
      <c r="D140" s="12">
        <v>0.2</v>
      </c>
      <c r="E140" s="12">
        <v>5.8</v>
      </c>
      <c r="F140" s="12">
        <v>36</v>
      </c>
      <c r="G140" s="3" t="s">
        <v>87</v>
      </c>
    </row>
    <row r="141" spans="1:7" ht="33.75" customHeight="1">
      <c r="A141" s="4" t="s">
        <v>35</v>
      </c>
      <c r="B141" s="3" t="s">
        <v>215</v>
      </c>
      <c r="C141" s="12">
        <v>11.76</v>
      </c>
      <c r="D141" s="12">
        <f>0.89/90*142</f>
        <v>1.4042222222222223</v>
      </c>
      <c r="E141" s="12">
        <v>86.8</v>
      </c>
      <c r="F141" s="12">
        <v>101.2</v>
      </c>
      <c r="G141" s="2" t="s">
        <v>40</v>
      </c>
    </row>
    <row r="142" spans="1:7" ht="32.25" customHeight="1">
      <c r="A142" s="103" t="s">
        <v>182</v>
      </c>
      <c r="B142" s="104">
        <f>100+25+250+175+200+200+70+72</f>
        <v>1092</v>
      </c>
      <c r="C142" s="105">
        <f>SUM(C136:C141)</f>
        <v>59.558</v>
      </c>
      <c r="D142" s="113">
        <f>SUM(D136:D141)</f>
        <v>57.42422222222223</v>
      </c>
      <c r="E142" s="113">
        <f>SUM(E136:E141)</f>
        <v>219.98700000000002</v>
      </c>
      <c r="F142" s="112">
        <f>SUM(F136:F141)</f>
        <v>1408.8480000000002</v>
      </c>
      <c r="G142" s="106"/>
    </row>
    <row r="143" spans="1:7" ht="19.5" customHeight="1">
      <c r="A143" s="144" t="s">
        <v>6</v>
      </c>
      <c r="B143" s="145"/>
      <c r="C143" s="145"/>
      <c r="D143" s="145"/>
      <c r="E143" s="145"/>
      <c r="F143" s="145"/>
      <c r="G143" s="2"/>
    </row>
    <row r="144" spans="1:7" ht="35.25" customHeight="1">
      <c r="A144" s="4" t="s">
        <v>149</v>
      </c>
      <c r="B144" s="3">
        <v>200</v>
      </c>
      <c r="C144" s="12">
        <v>5.59</v>
      </c>
      <c r="D144" s="12">
        <v>6.38</v>
      </c>
      <c r="E144" s="12">
        <v>9.38</v>
      </c>
      <c r="F144" s="12">
        <v>117.31</v>
      </c>
      <c r="G144" s="3" t="s">
        <v>88</v>
      </c>
    </row>
    <row r="145" spans="1:7" ht="19.5" customHeight="1">
      <c r="A145" s="10" t="s">
        <v>164</v>
      </c>
      <c r="B145" s="1">
        <v>150</v>
      </c>
      <c r="C145" s="22">
        <v>8.3</v>
      </c>
      <c r="D145" s="22">
        <v>17.5</v>
      </c>
      <c r="E145" s="22">
        <v>8.71</v>
      </c>
      <c r="F145" s="22">
        <v>225.54</v>
      </c>
      <c r="G145" s="2" t="s">
        <v>163</v>
      </c>
    </row>
    <row r="146" spans="1:7" ht="24.75" customHeight="1">
      <c r="A146" s="4" t="s">
        <v>152</v>
      </c>
      <c r="B146" s="3" t="s">
        <v>80</v>
      </c>
      <c r="C146" s="12">
        <v>2.25</v>
      </c>
      <c r="D146" s="12">
        <v>0.5</v>
      </c>
      <c r="E146" s="12">
        <v>20.25</v>
      </c>
      <c r="F146" s="12">
        <v>107.5</v>
      </c>
      <c r="G146" s="2" t="s">
        <v>40</v>
      </c>
    </row>
    <row r="147" spans="1:7" ht="19.5" customHeight="1">
      <c r="A147" s="107" t="s">
        <v>183</v>
      </c>
      <c r="B147" s="108">
        <v>500</v>
      </c>
      <c r="C147" s="109">
        <f>SUM(C144:C146)</f>
        <v>16.14</v>
      </c>
      <c r="D147" s="109">
        <f>SUM(D144:D146)</f>
        <v>24.38</v>
      </c>
      <c r="E147" s="109">
        <f>SUM(E144:E146)</f>
        <v>38.34</v>
      </c>
      <c r="F147" s="109">
        <f>SUM(F144:F146)</f>
        <v>450.35</v>
      </c>
      <c r="G147" s="110"/>
    </row>
    <row r="148" spans="1:7" s="45" customFormat="1" ht="19.5" customHeight="1">
      <c r="A148" s="107" t="s">
        <v>24</v>
      </c>
      <c r="B148" s="108"/>
      <c r="C148" s="109">
        <f>C134+C142+C147</f>
        <v>110.76085714285715</v>
      </c>
      <c r="D148" s="109">
        <f>D134+D142+D147</f>
        <v>108.05415873015873</v>
      </c>
      <c r="E148" s="109">
        <f>E134+E142+E147</f>
        <v>417.9698571428572</v>
      </c>
      <c r="F148" s="109">
        <f>F134+F142+F147</f>
        <v>2565.7008571428573</v>
      </c>
      <c r="G148" s="110"/>
    </row>
    <row r="149" spans="1:7" ht="19.5" customHeight="1">
      <c r="A149" s="47"/>
      <c r="B149" s="48"/>
      <c r="C149" s="49"/>
      <c r="D149" s="49"/>
      <c r="E149" s="50"/>
      <c r="F149" s="50"/>
      <c r="G149" s="46"/>
    </row>
    <row r="150" spans="1:7" ht="19.5" customHeight="1">
      <c r="A150" s="47"/>
      <c r="B150" s="48"/>
      <c r="C150" s="49"/>
      <c r="D150" s="49"/>
      <c r="E150" s="50"/>
      <c r="F150" s="50"/>
      <c r="G150" s="46"/>
    </row>
    <row r="151" spans="1:7" ht="19.5" customHeight="1">
      <c r="A151" s="28" t="s">
        <v>60</v>
      </c>
      <c r="B151" s="132" t="s">
        <v>64</v>
      </c>
      <c r="C151" s="133"/>
      <c r="D151" s="133"/>
      <c r="E151" s="29"/>
      <c r="F151" s="29"/>
      <c r="G151" s="31"/>
    </row>
    <row r="152" spans="1:7" ht="19.5" customHeight="1">
      <c r="A152" s="28" t="s">
        <v>62</v>
      </c>
      <c r="B152" s="132" t="s">
        <v>63</v>
      </c>
      <c r="C152" s="133"/>
      <c r="D152" s="133"/>
      <c r="E152" s="29"/>
      <c r="F152" s="29"/>
      <c r="G152" s="31"/>
    </row>
    <row r="153" spans="1:7" ht="19.5" customHeight="1">
      <c r="A153" s="137" t="s">
        <v>33</v>
      </c>
      <c r="B153" s="137" t="s">
        <v>31</v>
      </c>
      <c r="C153" s="147" t="s">
        <v>0</v>
      </c>
      <c r="D153" s="148"/>
      <c r="E153" s="149"/>
      <c r="F153" s="138" t="s">
        <v>32</v>
      </c>
      <c r="G153" s="135" t="s">
        <v>25</v>
      </c>
    </row>
    <row r="154" spans="1:218" s="52" customFormat="1" ht="19.5" customHeight="1">
      <c r="A154" s="136"/>
      <c r="B154" s="136"/>
      <c r="C154" s="25" t="s">
        <v>1</v>
      </c>
      <c r="D154" s="25" t="s">
        <v>2</v>
      </c>
      <c r="E154" s="25" t="s">
        <v>3</v>
      </c>
      <c r="F154" s="139"/>
      <c r="G154" s="136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  <c r="BA154" s="51"/>
      <c r="BB154" s="51"/>
      <c r="BC154" s="51"/>
      <c r="BD154" s="51"/>
      <c r="BE154" s="51"/>
      <c r="BF154" s="51"/>
      <c r="BG154" s="51"/>
      <c r="BH154" s="51"/>
      <c r="BI154" s="51"/>
      <c r="BJ154" s="51"/>
      <c r="BK154" s="5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  <c r="FF154" s="51"/>
      <c r="FG154" s="51"/>
      <c r="FH154" s="51"/>
      <c r="FI154" s="51"/>
      <c r="FJ154" s="51"/>
      <c r="FK154" s="51"/>
      <c r="FL154" s="51"/>
      <c r="FM154" s="51"/>
      <c r="FN154" s="51"/>
      <c r="FO154" s="51"/>
      <c r="FP154" s="51"/>
      <c r="FQ154" s="51"/>
      <c r="FR154" s="51"/>
      <c r="FS154" s="51"/>
      <c r="FT154" s="51"/>
      <c r="FU154" s="51"/>
      <c r="FV154" s="51"/>
      <c r="FW154" s="51"/>
      <c r="FX154" s="51"/>
      <c r="FY154" s="51"/>
      <c r="FZ154" s="51"/>
      <c r="GA154" s="51"/>
      <c r="GB154" s="51"/>
      <c r="GC154" s="51"/>
      <c r="GD154" s="51"/>
      <c r="GE154" s="51"/>
      <c r="GF154" s="51"/>
      <c r="GG154" s="51"/>
      <c r="GH154" s="51"/>
      <c r="GI154" s="51"/>
      <c r="GJ154" s="51"/>
      <c r="GK154" s="51"/>
      <c r="GL154" s="51"/>
      <c r="GM154" s="51"/>
      <c r="GN154" s="51"/>
      <c r="GO154" s="51"/>
      <c r="GP154" s="51"/>
      <c r="GQ154" s="51"/>
      <c r="GR154" s="51"/>
      <c r="GS154" s="51"/>
      <c r="GT154" s="51"/>
      <c r="GU154" s="51"/>
      <c r="GV154" s="51"/>
      <c r="GW154" s="51"/>
      <c r="GX154" s="51"/>
      <c r="GY154" s="51"/>
      <c r="GZ154" s="51"/>
      <c r="HA154" s="51"/>
      <c r="HB154" s="51"/>
      <c r="HC154" s="51"/>
      <c r="HD154" s="51"/>
      <c r="HE154" s="51"/>
      <c r="HF154" s="51"/>
      <c r="HG154" s="51"/>
      <c r="HH154" s="51"/>
      <c r="HI154" s="51"/>
      <c r="HJ154" s="51"/>
    </row>
    <row r="155" spans="1:218" ht="19.5" customHeight="1">
      <c r="A155" s="144" t="s">
        <v>17</v>
      </c>
      <c r="B155" s="145"/>
      <c r="C155" s="145"/>
      <c r="D155" s="145"/>
      <c r="E155" s="145"/>
      <c r="F155" s="145"/>
      <c r="G155" s="2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  <c r="BA155" s="51"/>
      <c r="BB155" s="51"/>
      <c r="BC155" s="51"/>
      <c r="BD155" s="51"/>
      <c r="BE155" s="51"/>
      <c r="BF155" s="51"/>
      <c r="BG155" s="51"/>
      <c r="BH155" s="51"/>
      <c r="BI155" s="51"/>
      <c r="BJ155" s="51"/>
      <c r="BK155" s="51"/>
      <c r="BL155" s="51"/>
      <c r="BM155" s="51"/>
      <c r="BN155" s="51"/>
      <c r="BO155" s="51"/>
      <c r="BP155" s="51"/>
      <c r="BQ155" s="51"/>
      <c r="BR155" s="51"/>
      <c r="BS155" s="51"/>
      <c r="BT155" s="51"/>
      <c r="BU155" s="51"/>
      <c r="BV155" s="51"/>
      <c r="BW155" s="51"/>
      <c r="BX155" s="51"/>
      <c r="BY155" s="51"/>
      <c r="BZ155" s="51"/>
      <c r="CA155" s="51"/>
      <c r="CB155" s="51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  <c r="FF155" s="51"/>
      <c r="FG155" s="51"/>
      <c r="FH155" s="51"/>
      <c r="FI155" s="51"/>
      <c r="FJ155" s="51"/>
      <c r="FK155" s="51"/>
      <c r="FL155" s="51"/>
      <c r="FM155" s="51"/>
      <c r="FN155" s="51"/>
      <c r="FO155" s="51"/>
      <c r="FP155" s="51"/>
      <c r="FQ155" s="51"/>
      <c r="FR155" s="51"/>
      <c r="FS155" s="51"/>
      <c r="FT155" s="51"/>
      <c r="FU155" s="51"/>
      <c r="FV155" s="51"/>
      <c r="FW155" s="51"/>
      <c r="FX155" s="51"/>
      <c r="FY155" s="51"/>
      <c r="FZ155" s="51"/>
      <c r="GA155" s="51"/>
      <c r="GB155" s="51"/>
      <c r="GC155" s="51"/>
      <c r="GD155" s="51"/>
      <c r="GE155" s="51"/>
      <c r="GF155" s="51"/>
      <c r="GG155" s="51"/>
      <c r="GH155" s="51"/>
      <c r="GI155" s="51"/>
      <c r="GJ155" s="51"/>
      <c r="GK155" s="51"/>
      <c r="GL155" s="51"/>
      <c r="GM155" s="51"/>
      <c r="GN155" s="51"/>
      <c r="GO155" s="51"/>
      <c r="GP155" s="51"/>
      <c r="GQ155" s="51"/>
      <c r="GR155" s="51"/>
      <c r="GS155" s="51"/>
      <c r="GT155" s="51"/>
      <c r="GU155" s="51"/>
      <c r="GV155" s="51"/>
      <c r="GW155" s="51"/>
      <c r="GX155" s="51"/>
      <c r="GY155" s="51"/>
      <c r="GZ155" s="51"/>
      <c r="HA155" s="51"/>
      <c r="HB155" s="51"/>
      <c r="HC155" s="51"/>
      <c r="HD155" s="51"/>
      <c r="HE155" s="51"/>
      <c r="HF155" s="51"/>
      <c r="HG155" s="51"/>
      <c r="HH155" s="51"/>
      <c r="HI155" s="51"/>
      <c r="HJ155" s="51"/>
    </row>
    <row r="156" spans="1:7" ht="19.5" customHeight="1">
      <c r="A156" s="144" t="s">
        <v>8</v>
      </c>
      <c r="B156" s="145"/>
      <c r="C156" s="145"/>
      <c r="D156" s="145"/>
      <c r="E156" s="145"/>
      <c r="F156" s="145"/>
      <c r="G156" s="2"/>
    </row>
    <row r="157" spans="1:7" ht="54" customHeight="1">
      <c r="A157" s="4" t="s">
        <v>49</v>
      </c>
      <c r="B157" s="3" t="s">
        <v>205</v>
      </c>
      <c r="C157" s="12">
        <f>6.04/2*2.5</f>
        <v>7.55</v>
      </c>
      <c r="D157" s="12">
        <f>7.27/2*2.5</f>
        <v>9.087499999999999</v>
      </c>
      <c r="E157" s="12">
        <f>34.29/2*2.5</f>
        <v>42.8625</v>
      </c>
      <c r="F157" s="12">
        <f>227.16/2*2.5</f>
        <v>283.95</v>
      </c>
      <c r="G157" s="9" t="s">
        <v>135</v>
      </c>
    </row>
    <row r="158" spans="1:7" ht="28.5" customHeight="1">
      <c r="A158" s="4" t="s">
        <v>41</v>
      </c>
      <c r="B158" s="3">
        <v>20</v>
      </c>
      <c r="C158" s="12">
        <f>6.96/3*2</f>
        <v>4.64</v>
      </c>
      <c r="D158" s="12">
        <f>8.85/3*2</f>
        <v>5.8999999999999995</v>
      </c>
      <c r="E158" s="12" t="s">
        <v>123</v>
      </c>
      <c r="F158" s="12">
        <f>109.2/3*2</f>
        <v>72.8</v>
      </c>
      <c r="G158" s="3" t="s">
        <v>83</v>
      </c>
    </row>
    <row r="159" spans="1:7" ht="28.5" customHeight="1">
      <c r="A159" s="4" t="s">
        <v>92</v>
      </c>
      <c r="B159" s="5" t="s">
        <v>93</v>
      </c>
      <c r="C159" s="12">
        <v>1.7</v>
      </c>
      <c r="D159" s="12">
        <v>5.1</v>
      </c>
      <c r="E159" s="12">
        <v>10.26</v>
      </c>
      <c r="F159" s="12">
        <v>183.6</v>
      </c>
      <c r="G159" s="3" t="s">
        <v>124</v>
      </c>
    </row>
    <row r="160" spans="1:7" ht="48" customHeight="1">
      <c r="A160" s="4" t="s">
        <v>90</v>
      </c>
      <c r="B160" s="3" t="s">
        <v>91</v>
      </c>
      <c r="C160" s="12">
        <v>0.2</v>
      </c>
      <c r="D160" s="12" t="s">
        <v>123</v>
      </c>
      <c r="E160" s="12">
        <v>15</v>
      </c>
      <c r="F160" s="12">
        <v>58</v>
      </c>
      <c r="G160" s="9" t="s">
        <v>89</v>
      </c>
    </row>
    <row r="161" spans="1:7" ht="30.75" customHeight="1">
      <c r="A161" s="103" t="s">
        <v>178</v>
      </c>
      <c r="B161" s="104">
        <f>255+20+60+200+15</f>
        <v>550</v>
      </c>
      <c r="C161" s="105">
        <f>SUM(C157:C160)</f>
        <v>14.089999999999998</v>
      </c>
      <c r="D161" s="112">
        <f>SUM(D157:D160)</f>
        <v>20.0875</v>
      </c>
      <c r="E161" s="112">
        <f>SUM(E157:E160)</f>
        <v>68.1225</v>
      </c>
      <c r="F161" s="105">
        <f>SUM(F157:F160)</f>
        <v>598.35</v>
      </c>
      <c r="G161" s="106"/>
    </row>
    <row r="162" spans="1:7" ht="19.5" customHeight="1">
      <c r="A162" s="144" t="s">
        <v>5</v>
      </c>
      <c r="B162" s="145"/>
      <c r="C162" s="145"/>
      <c r="D162" s="145"/>
      <c r="E162" s="145"/>
      <c r="F162" s="145"/>
      <c r="G162" s="2"/>
    </row>
    <row r="163" spans="1:7" ht="36.75" customHeight="1">
      <c r="A163" s="4" t="s">
        <v>196</v>
      </c>
      <c r="B163" s="3">
        <v>100</v>
      </c>
      <c r="C163" s="12">
        <v>0.8</v>
      </c>
      <c r="D163" s="12">
        <v>0.1</v>
      </c>
      <c r="E163" s="12">
        <f>1.65*2</f>
        <v>3.3</v>
      </c>
      <c r="F163" s="12">
        <v>14</v>
      </c>
      <c r="G163" s="3" t="s">
        <v>197</v>
      </c>
    </row>
    <row r="164" spans="1:7" ht="50.25" customHeight="1">
      <c r="A164" s="165" t="s">
        <v>190</v>
      </c>
      <c r="B164" s="3">
        <v>250</v>
      </c>
      <c r="C164" s="12">
        <v>2.09</v>
      </c>
      <c r="D164" s="12">
        <v>6.33</v>
      </c>
      <c r="E164" s="12">
        <v>10.64</v>
      </c>
      <c r="F164" s="12">
        <v>107.83</v>
      </c>
      <c r="G164" s="164" t="s">
        <v>189</v>
      </c>
    </row>
    <row r="165" spans="1:7" ht="50.25" customHeight="1">
      <c r="A165" s="4" t="s">
        <v>56</v>
      </c>
      <c r="B165" s="2" t="s">
        <v>217</v>
      </c>
      <c r="C165" s="22">
        <f>18.22/7*10</f>
        <v>26.02857142857143</v>
      </c>
      <c r="D165" s="22">
        <f>18.22/7*10</f>
        <v>26.02857142857143</v>
      </c>
      <c r="E165" s="22">
        <f>0.97/7*10</f>
        <v>1.3857142857142857</v>
      </c>
      <c r="F165" s="22">
        <f>242.68/7*10</f>
        <v>346.6857142857143</v>
      </c>
      <c r="G165" s="1" t="s">
        <v>129</v>
      </c>
    </row>
    <row r="166" spans="1:7" ht="78.75" customHeight="1">
      <c r="A166" s="4" t="s">
        <v>202</v>
      </c>
      <c r="B166" s="3">
        <v>200</v>
      </c>
      <c r="C166" s="12">
        <f>4.8</f>
        <v>4.8</v>
      </c>
      <c r="D166" s="12">
        <v>8</v>
      </c>
      <c r="E166" s="12">
        <f>24.7*2</f>
        <v>49.4</v>
      </c>
      <c r="F166" s="12">
        <f>147*2</f>
        <v>294</v>
      </c>
      <c r="G166" s="9" t="s">
        <v>201</v>
      </c>
    </row>
    <row r="167" spans="1:7" ht="36.75" customHeight="1">
      <c r="A167" s="16" t="s">
        <v>102</v>
      </c>
      <c r="B167" s="19">
        <v>200</v>
      </c>
      <c r="C167" s="53">
        <v>0.16</v>
      </c>
      <c r="D167" s="53" t="s">
        <v>123</v>
      </c>
      <c r="E167" s="53">
        <v>14.99</v>
      </c>
      <c r="F167" s="53">
        <v>60.64</v>
      </c>
      <c r="G167" s="1" t="s">
        <v>96</v>
      </c>
    </row>
    <row r="168" spans="1:7" ht="33.75" customHeight="1">
      <c r="A168" s="4" t="s">
        <v>35</v>
      </c>
      <c r="B168" s="3" t="s">
        <v>215</v>
      </c>
      <c r="C168" s="12">
        <v>11.76</v>
      </c>
      <c r="D168" s="12">
        <f>0.89/90*142</f>
        <v>1.4042222222222223</v>
      </c>
      <c r="E168" s="12">
        <v>86.8</v>
      </c>
      <c r="F168" s="12">
        <v>101.2</v>
      </c>
      <c r="G168" s="2" t="s">
        <v>40</v>
      </c>
    </row>
    <row r="169" spans="1:7" ht="29.25" customHeight="1">
      <c r="A169" s="103" t="s">
        <v>182</v>
      </c>
      <c r="B169" s="104">
        <f>100+250+105+400+70+72</f>
        <v>997</v>
      </c>
      <c r="C169" s="105">
        <f>SUM(C163:C168)</f>
        <v>45.638571428571424</v>
      </c>
      <c r="D169" s="105">
        <f>SUM(D163:D168)</f>
        <v>41.862793650793655</v>
      </c>
      <c r="E169" s="112">
        <f>SUM(E163:E168)</f>
        <v>166.5157142857143</v>
      </c>
      <c r="F169" s="112">
        <f>SUM(F163:F168)</f>
        <v>924.3557142857143</v>
      </c>
      <c r="G169" s="106"/>
    </row>
    <row r="170" spans="1:7" ht="19.5" customHeight="1">
      <c r="A170" s="144" t="s">
        <v>9</v>
      </c>
      <c r="B170" s="145"/>
      <c r="C170" s="145"/>
      <c r="D170" s="145"/>
      <c r="E170" s="145"/>
      <c r="F170" s="145"/>
      <c r="G170" s="2"/>
    </row>
    <row r="171" spans="1:7" ht="38.25" customHeight="1">
      <c r="A171" s="10" t="s">
        <v>160</v>
      </c>
      <c r="B171" s="1">
        <v>150</v>
      </c>
      <c r="C171" s="22">
        <v>6.65</v>
      </c>
      <c r="D171" s="22">
        <v>1.8</v>
      </c>
      <c r="E171" s="22">
        <v>27.8</v>
      </c>
      <c r="F171" s="22">
        <v>147.5</v>
      </c>
      <c r="G171" s="1" t="s">
        <v>40</v>
      </c>
    </row>
    <row r="172" spans="1:7" ht="48.75" customHeight="1">
      <c r="A172" s="4" t="s">
        <v>86</v>
      </c>
      <c r="B172" s="3">
        <v>200</v>
      </c>
      <c r="C172" s="12">
        <v>2</v>
      </c>
      <c r="D172" s="12">
        <v>0.2</v>
      </c>
      <c r="E172" s="12">
        <v>5.8</v>
      </c>
      <c r="F172" s="12">
        <v>36</v>
      </c>
      <c r="G172" s="3" t="s">
        <v>87</v>
      </c>
    </row>
    <row r="173" spans="1:7" s="11" customFormat="1" ht="24.75" customHeight="1">
      <c r="A173" s="107" t="s">
        <v>183</v>
      </c>
      <c r="B173" s="108">
        <v>350</v>
      </c>
      <c r="C173" s="109">
        <f>SUM(C171:C172)</f>
        <v>8.65</v>
      </c>
      <c r="D173" s="109">
        <f>SUM(D171:D172)</f>
        <v>2</v>
      </c>
      <c r="E173" s="109">
        <f>SUM(E171:E172)</f>
        <v>33.6</v>
      </c>
      <c r="F173" s="109">
        <f>SUM(F171:F172)</f>
        <v>183.5</v>
      </c>
      <c r="G173" s="110"/>
    </row>
    <row r="174" spans="1:7" s="11" customFormat="1" ht="24.75" customHeight="1">
      <c r="A174" s="107" t="s">
        <v>24</v>
      </c>
      <c r="B174" s="108"/>
      <c r="C174" s="109">
        <f>C161+C169+C173</f>
        <v>68.37857142857142</v>
      </c>
      <c r="D174" s="109">
        <f>D161+D169+D173</f>
        <v>63.950293650793654</v>
      </c>
      <c r="E174" s="109">
        <f>E161+E169+E173</f>
        <v>268.2382142857143</v>
      </c>
      <c r="F174" s="109">
        <f>F161+F169+F173</f>
        <v>1706.2057142857143</v>
      </c>
      <c r="G174" s="110"/>
    </row>
    <row r="175" spans="1:7" ht="19.5" customHeight="1">
      <c r="A175" s="33"/>
      <c r="B175" s="34"/>
      <c r="C175" s="35"/>
      <c r="D175" s="35"/>
      <c r="E175" s="35"/>
      <c r="F175" s="35"/>
      <c r="G175" s="32"/>
    </row>
    <row r="176" spans="1:7" ht="19.5" customHeight="1">
      <c r="A176" s="47"/>
      <c r="B176" s="48"/>
      <c r="C176" s="49"/>
      <c r="D176" s="49"/>
      <c r="E176" s="49"/>
      <c r="F176" s="49"/>
      <c r="G176" s="46"/>
    </row>
    <row r="177" spans="1:7" ht="19.5" customHeight="1">
      <c r="A177" s="28" t="s">
        <v>60</v>
      </c>
      <c r="B177" s="132" t="s">
        <v>64</v>
      </c>
      <c r="C177" s="133"/>
      <c r="D177" s="133"/>
      <c r="E177" s="29"/>
      <c r="F177" s="29"/>
      <c r="G177" s="31"/>
    </row>
    <row r="178" spans="1:7" ht="19.5" customHeight="1">
      <c r="A178" s="28" t="s">
        <v>62</v>
      </c>
      <c r="B178" s="133" t="s">
        <v>63</v>
      </c>
      <c r="C178" s="133"/>
      <c r="D178" s="133"/>
      <c r="E178" s="29"/>
      <c r="F178" s="29"/>
      <c r="G178" s="31"/>
    </row>
    <row r="179" spans="1:7" ht="19.5" customHeight="1">
      <c r="A179" s="137" t="s">
        <v>33</v>
      </c>
      <c r="B179" s="137" t="s">
        <v>31</v>
      </c>
      <c r="C179" s="138" t="s">
        <v>0</v>
      </c>
      <c r="D179" s="138"/>
      <c r="E179" s="138"/>
      <c r="F179" s="138" t="s">
        <v>32</v>
      </c>
      <c r="G179" s="135" t="s">
        <v>25</v>
      </c>
    </row>
    <row r="180" spans="1:7" ht="19.5" customHeight="1">
      <c r="A180" s="136"/>
      <c r="B180" s="136"/>
      <c r="C180" s="25" t="s">
        <v>1</v>
      </c>
      <c r="D180" s="25" t="s">
        <v>2</v>
      </c>
      <c r="E180" s="25" t="s">
        <v>3</v>
      </c>
      <c r="F180" s="139"/>
      <c r="G180" s="136"/>
    </row>
    <row r="181" spans="1:7" ht="19.5" customHeight="1">
      <c r="A181" s="144" t="s">
        <v>18</v>
      </c>
      <c r="B181" s="145"/>
      <c r="C181" s="145"/>
      <c r="D181" s="145"/>
      <c r="E181" s="145"/>
      <c r="F181" s="145"/>
      <c r="G181" s="2"/>
    </row>
    <row r="182" spans="1:7" ht="19.5" customHeight="1">
      <c r="A182" s="144" t="s">
        <v>8</v>
      </c>
      <c r="B182" s="145"/>
      <c r="C182" s="145"/>
      <c r="D182" s="145"/>
      <c r="E182" s="145"/>
      <c r="F182" s="145"/>
      <c r="G182" s="2"/>
    </row>
    <row r="183" spans="1:7" ht="45" customHeight="1">
      <c r="A183" s="4" t="s">
        <v>128</v>
      </c>
      <c r="B183" s="3" t="s">
        <v>216</v>
      </c>
      <c r="C183" s="12">
        <f>24.26/1.5*2</f>
        <v>32.34666666666667</v>
      </c>
      <c r="D183" s="12">
        <f>8.31/1.5*2</f>
        <v>11.08</v>
      </c>
      <c r="E183" s="12">
        <f>39.75/1.5*2</f>
        <v>53</v>
      </c>
      <c r="F183" s="12">
        <f>330.81/1.5*2</f>
        <v>441.08</v>
      </c>
      <c r="G183" s="9" t="s">
        <v>127</v>
      </c>
    </row>
    <row r="184" spans="1:7" ht="45" customHeight="1">
      <c r="A184" s="4" t="s">
        <v>203</v>
      </c>
      <c r="B184" s="3">
        <v>200</v>
      </c>
      <c r="C184" s="12">
        <v>3.77</v>
      </c>
      <c r="D184" s="12">
        <v>3.93</v>
      </c>
      <c r="E184" s="12">
        <v>25.95</v>
      </c>
      <c r="F184" s="12">
        <v>153.02</v>
      </c>
      <c r="G184" s="9" t="s">
        <v>204</v>
      </c>
    </row>
    <row r="185" spans="1:7" ht="33.75" customHeight="1">
      <c r="A185" s="4" t="s">
        <v>199</v>
      </c>
      <c r="B185" s="3">
        <v>100</v>
      </c>
      <c r="C185" s="12">
        <v>13.79</v>
      </c>
      <c r="D185" s="12">
        <v>0.89</v>
      </c>
      <c r="E185" s="12">
        <v>78.55</v>
      </c>
      <c r="F185" s="12">
        <v>59.8</v>
      </c>
      <c r="G185" s="2" t="s">
        <v>40</v>
      </c>
    </row>
    <row r="186" spans="1:7" ht="33" customHeight="1">
      <c r="A186" s="103" t="s">
        <v>178</v>
      </c>
      <c r="B186" s="104">
        <v>550</v>
      </c>
      <c r="C186" s="112">
        <f>SUM(C183:C185)</f>
        <v>49.90666666666667</v>
      </c>
      <c r="D186" s="112">
        <f>SUM(D183:D185)</f>
        <v>15.9</v>
      </c>
      <c r="E186" s="112">
        <f>SUM(E183:E185)</f>
        <v>157.5</v>
      </c>
      <c r="F186" s="112">
        <f>SUM(F183:F185)</f>
        <v>653.9</v>
      </c>
      <c r="G186" s="106"/>
    </row>
    <row r="187" spans="1:7" ht="19.5" customHeight="1">
      <c r="A187" s="144" t="s">
        <v>5</v>
      </c>
      <c r="B187" s="145"/>
      <c r="C187" s="145"/>
      <c r="D187" s="145"/>
      <c r="E187" s="145"/>
      <c r="F187" s="145"/>
      <c r="G187" s="2"/>
    </row>
    <row r="188" spans="1:7" ht="45.75" customHeight="1">
      <c r="A188" s="4" t="s">
        <v>105</v>
      </c>
      <c r="B188" s="3">
        <v>100</v>
      </c>
      <c r="C188" s="12">
        <v>1.68</v>
      </c>
      <c r="D188" s="12">
        <v>9.07</v>
      </c>
      <c r="E188" s="12">
        <v>10.39</v>
      </c>
      <c r="F188" s="12">
        <v>130.94</v>
      </c>
      <c r="G188" s="9" t="s">
        <v>106</v>
      </c>
    </row>
    <row r="189" spans="1:7" ht="37.5" customHeight="1">
      <c r="A189" s="4" t="s">
        <v>57</v>
      </c>
      <c r="B189" s="3">
        <v>250</v>
      </c>
      <c r="C189" s="12">
        <v>5.03</v>
      </c>
      <c r="D189" s="12">
        <v>11.3</v>
      </c>
      <c r="E189" s="12">
        <v>32.38</v>
      </c>
      <c r="F189" s="12">
        <v>149.6</v>
      </c>
      <c r="G189" s="9" t="s">
        <v>138</v>
      </c>
    </row>
    <row r="190" spans="1:7" ht="26.25" customHeight="1">
      <c r="A190" s="4" t="s">
        <v>116</v>
      </c>
      <c r="B190" s="3">
        <v>100</v>
      </c>
      <c r="C190" s="12">
        <f>21.68/1.2</f>
        <v>18.066666666666666</v>
      </c>
      <c r="D190" s="12">
        <f>24.21/1.2</f>
        <v>20.175</v>
      </c>
      <c r="E190" s="12">
        <f>6.74/1.2</f>
        <v>5.616666666666667</v>
      </c>
      <c r="F190" s="12">
        <f>331.53/1.2</f>
        <v>276.275</v>
      </c>
      <c r="G190" s="9" t="s">
        <v>136</v>
      </c>
    </row>
    <row r="191" spans="1:7" ht="57" customHeight="1">
      <c r="A191" s="4" t="s">
        <v>95</v>
      </c>
      <c r="B191" s="3">
        <v>200</v>
      </c>
      <c r="C191" s="12">
        <f>5.8*2</f>
        <v>11.6</v>
      </c>
      <c r="D191" s="12">
        <f>5.2*2</f>
        <v>10.4</v>
      </c>
      <c r="E191" s="12">
        <f>28.4*2</f>
        <v>56.8</v>
      </c>
      <c r="F191" s="12">
        <f>186*2</f>
        <v>372</v>
      </c>
      <c r="G191" s="9" t="s">
        <v>218</v>
      </c>
    </row>
    <row r="192" spans="1:7" ht="42.75" customHeight="1">
      <c r="A192" s="4" t="s">
        <v>86</v>
      </c>
      <c r="B192" s="3">
        <v>200</v>
      </c>
      <c r="C192" s="12">
        <v>2</v>
      </c>
      <c r="D192" s="12">
        <v>0.2</v>
      </c>
      <c r="E192" s="12">
        <v>5.8</v>
      </c>
      <c r="F192" s="12">
        <v>36</v>
      </c>
      <c r="G192" s="3" t="s">
        <v>87</v>
      </c>
    </row>
    <row r="193" spans="1:7" ht="33.75" customHeight="1">
      <c r="A193" s="4" t="s">
        <v>35</v>
      </c>
      <c r="B193" s="3" t="s">
        <v>215</v>
      </c>
      <c r="C193" s="12">
        <v>11.76</v>
      </c>
      <c r="D193" s="12">
        <f>0.89/90*142</f>
        <v>1.4042222222222223</v>
      </c>
      <c r="E193" s="12">
        <v>86.8</v>
      </c>
      <c r="F193" s="12">
        <v>101.2</v>
      </c>
      <c r="G193" s="2" t="s">
        <v>40</v>
      </c>
    </row>
    <row r="194" spans="1:7" ht="32.25" customHeight="1">
      <c r="A194" s="103" t="s">
        <v>182</v>
      </c>
      <c r="B194" s="104">
        <f>100+250+500+70+72</f>
        <v>992</v>
      </c>
      <c r="C194" s="105">
        <f>SUM(C188:C193)</f>
        <v>50.13666666666666</v>
      </c>
      <c r="D194" s="105">
        <f>SUM(D188:D193)</f>
        <v>52.54922222222223</v>
      </c>
      <c r="E194" s="105">
        <f>SUM(E188:E193)</f>
        <v>197.78666666666666</v>
      </c>
      <c r="F194" s="112">
        <f>SUM(F188:F193)</f>
        <v>1066.0149999999999</v>
      </c>
      <c r="G194" s="106"/>
    </row>
    <row r="195" spans="1:7" ht="19.5" customHeight="1">
      <c r="A195" s="144" t="s">
        <v>9</v>
      </c>
      <c r="B195" s="145"/>
      <c r="C195" s="145"/>
      <c r="D195" s="145"/>
      <c r="E195" s="145"/>
      <c r="F195" s="145"/>
      <c r="G195" s="2"/>
    </row>
    <row r="196" spans="1:7" ht="35.25" customHeight="1">
      <c r="A196" s="4" t="s">
        <v>206</v>
      </c>
      <c r="B196" s="3">
        <v>200</v>
      </c>
      <c r="C196" s="12">
        <v>5.6</v>
      </c>
      <c r="D196" s="12">
        <v>6.38</v>
      </c>
      <c r="E196" s="12">
        <v>8.18</v>
      </c>
      <c r="F196" s="12">
        <v>112.52</v>
      </c>
      <c r="G196" s="1" t="s">
        <v>110</v>
      </c>
    </row>
    <row r="197" spans="1:7" ht="23.25" customHeight="1">
      <c r="A197" s="10" t="s">
        <v>43</v>
      </c>
      <c r="B197" s="1">
        <v>150</v>
      </c>
      <c r="C197" s="21">
        <v>4.09</v>
      </c>
      <c r="D197" s="21">
        <v>1.02</v>
      </c>
      <c r="E197" s="21">
        <v>40.6</v>
      </c>
      <c r="F197" s="44">
        <v>142.1</v>
      </c>
      <c r="G197" s="2" t="s">
        <v>40</v>
      </c>
    </row>
    <row r="198" spans="1:7" ht="19.5" customHeight="1">
      <c r="A198" s="107" t="s">
        <v>183</v>
      </c>
      <c r="B198" s="108">
        <v>350</v>
      </c>
      <c r="C198" s="109">
        <f>SUM(C196:C197)</f>
        <v>9.69</v>
      </c>
      <c r="D198" s="109">
        <f>SUM(D196:D197)</f>
        <v>7.4</v>
      </c>
      <c r="E198" s="109">
        <f>SUM(E196:E197)</f>
        <v>48.78</v>
      </c>
      <c r="F198" s="109">
        <f>SUM(F196:F197)</f>
        <v>254.62</v>
      </c>
      <c r="G198" s="110"/>
    </row>
    <row r="199" spans="1:7" ht="19.5" customHeight="1">
      <c r="A199" s="107" t="s">
        <v>24</v>
      </c>
      <c r="B199" s="108"/>
      <c r="C199" s="109">
        <f>C186+C194+C198</f>
        <v>109.73333333333333</v>
      </c>
      <c r="D199" s="109">
        <f>D186+D194+D198</f>
        <v>75.84922222222224</v>
      </c>
      <c r="E199" s="109">
        <f>E186+E194+E198</f>
        <v>404.0666666666666</v>
      </c>
      <c r="F199" s="109">
        <f>F186+F194+F198</f>
        <v>1974.5349999999999</v>
      </c>
      <c r="G199" s="110"/>
    </row>
    <row r="200" spans="1:7" ht="19.5" customHeight="1">
      <c r="A200" s="33"/>
      <c r="B200" s="54"/>
      <c r="C200" s="55"/>
      <c r="D200" s="56"/>
      <c r="E200" s="57"/>
      <c r="F200" s="57"/>
      <c r="G200" s="32"/>
    </row>
    <row r="201" spans="1:7" ht="19.5" customHeight="1">
      <c r="A201" s="47"/>
      <c r="B201" s="58"/>
      <c r="C201" s="59"/>
      <c r="D201" s="60"/>
      <c r="E201" s="61"/>
      <c r="F201" s="61"/>
      <c r="G201" s="46"/>
    </row>
    <row r="202" spans="1:7" ht="19.5" customHeight="1">
      <c r="A202" s="28" t="s">
        <v>60</v>
      </c>
      <c r="B202" s="132" t="s">
        <v>64</v>
      </c>
      <c r="C202" s="133"/>
      <c r="D202" s="133"/>
      <c r="E202" s="29"/>
      <c r="F202" s="29"/>
      <c r="G202" s="31"/>
    </row>
    <row r="203" spans="1:7" ht="19.5" customHeight="1">
      <c r="A203" s="28" t="s">
        <v>62</v>
      </c>
      <c r="B203" s="133" t="s">
        <v>63</v>
      </c>
      <c r="C203" s="133"/>
      <c r="D203" s="133"/>
      <c r="E203" s="29"/>
      <c r="F203" s="29"/>
      <c r="G203" s="31"/>
    </row>
    <row r="204" spans="1:7" ht="19.5" customHeight="1">
      <c r="A204" s="137" t="s">
        <v>33</v>
      </c>
      <c r="B204" s="137" t="s">
        <v>31</v>
      </c>
      <c r="C204" s="138" t="s">
        <v>0</v>
      </c>
      <c r="D204" s="138"/>
      <c r="E204" s="138"/>
      <c r="F204" s="138" t="s">
        <v>32</v>
      </c>
      <c r="G204" s="135" t="s">
        <v>25</v>
      </c>
    </row>
    <row r="205" spans="1:7" ht="19.5" customHeight="1">
      <c r="A205" s="136"/>
      <c r="B205" s="136"/>
      <c r="C205" s="25" t="s">
        <v>1</v>
      </c>
      <c r="D205" s="25" t="s">
        <v>2</v>
      </c>
      <c r="E205" s="25" t="s">
        <v>3</v>
      </c>
      <c r="F205" s="139"/>
      <c r="G205" s="136"/>
    </row>
    <row r="206" spans="1:7" ht="19.5" customHeight="1">
      <c r="A206" s="144" t="s">
        <v>19</v>
      </c>
      <c r="B206" s="150"/>
      <c r="C206" s="150"/>
      <c r="D206" s="150"/>
      <c r="E206" s="150"/>
      <c r="F206" s="150"/>
      <c r="G206" s="2"/>
    </row>
    <row r="207" spans="1:7" ht="19.5" customHeight="1">
      <c r="A207" s="144" t="s">
        <v>8</v>
      </c>
      <c r="B207" s="151"/>
      <c r="C207" s="151"/>
      <c r="D207" s="151"/>
      <c r="E207" s="151"/>
      <c r="F207" s="151"/>
      <c r="G207" s="2"/>
    </row>
    <row r="208" spans="1:7" ht="31.5" customHeight="1">
      <c r="A208" s="4" t="s">
        <v>50</v>
      </c>
      <c r="B208" s="3" t="s">
        <v>205</v>
      </c>
      <c r="C208" s="12">
        <f>5.12/2*2.5</f>
        <v>6.4</v>
      </c>
      <c r="D208" s="12">
        <f>6.62/2*2.5</f>
        <v>8.275</v>
      </c>
      <c r="E208" s="12">
        <f>32.61/2*2.5</f>
        <v>40.7625</v>
      </c>
      <c r="F208" s="12">
        <f>210.13/2*2.5</f>
        <v>262.6625</v>
      </c>
      <c r="G208" s="1" t="s">
        <v>141</v>
      </c>
    </row>
    <row r="209" spans="1:7" ht="28.5" customHeight="1">
      <c r="A209" s="4" t="s">
        <v>41</v>
      </c>
      <c r="B209" s="3">
        <v>20</v>
      </c>
      <c r="C209" s="12">
        <f>6.96/3*2</f>
        <v>4.64</v>
      </c>
      <c r="D209" s="12">
        <f>8.85/3*2</f>
        <v>5.8999999999999995</v>
      </c>
      <c r="E209" s="12" t="s">
        <v>123</v>
      </c>
      <c r="F209" s="12">
        <f>109.2/3*2</f>
        <v>72.8</v>
      </c>
      <c r="G209" s="3" t="s">
        <v>83</v>
      </c>
    </row>
    <row r="210" spans="1:7" ht="37.5" customHeight="1">
      <c r="A210" s="4" t="s">
        <v>92</v>
      </c>
      <c r="B210" s="5" t="s">
        <v>214</v>
      </c>
      <c r="C210" s="12">
        <v>1.7</v>
      </c>
      <c r="D210" s="12">
        <v>5.1</v>
      </c>
      <c r="E210" s="12">
        <v>10.26</v>
      </c>
      <c r="F210" s="12">
        <v>183.6</v>
      </c>
      <c r="G210" s="3" t="s">
        <v>124</v>
      </c>
    </row>
    <row r="211" spans="1:7" s="30" customFormat="1" ht="48.75" customHeight="1">
      <c r="A211" s="7" t="s">
        <v>155</v>
      </c>
      <c r="B211" s="8">
        <v>200</v>
      </c>
      <c r="C211" s="21">
        <v>1.4</v>
      </c>
      <c r="D211" s="21">
        <v>1.6</v>
      </c>
      <c r="E211" s="21">
        <v>17.35</v>
      </c>
      <c r="F211" s="21">
        <v>89.32</v>
      </c>
      <c r="G211" s="6" t="s">
        <v>84</v>
      </c>
    </row>
    <row r="212" spans="1:7" ht="36" customHeight="1">
      <c r="A212" s="103" t="s">
        <v>178</v>
      </c>
      <c r="B212" s="104">
        <f>255+20+85+200</f>
        <v>560</v>
      </c>
      <c r="C212" s="105">
        <f>SUM(C208:C211)</f>
        <v>14.139999999999999</v>
      </c>
      <c r="D212" s="105">
        <f>SUM(D208:D211)</f>
        <v>20.875</v>
      </c>
      <c r="E212" s="105">
        <f>SUM(E208:E211)</f>
        <v>68.3725</v>
      </c>
      <c r="F212" s="105">
        <f>SUM(F208:F211)</f>
        <v>608.3824999999999</v>
      </c>
      <c r="G212" s="106"/>
    </row>
    <row r="213" spans="1:7" ht="19.5" customHeight="1">
      <c r="A213" s="144" t="s">
        <v>5</v>
      </c>
      <c r="B213" s="151"/>
      <c r="C213" s="151"/>
      <c r="D213" s="151"/>
      <c r="E213" s="151"/>
      <c r="F213" s="151"/>
      <c r="G213" s="17"/>
    </row>
    <row r="214" spans="1:7" ht="34.5" customHeight="1">
      <c r="A214" s="4" t="s">
        <v>126</v>
      </c>
      <c r="B214" s="3">
        <v>100</v>
      </c>
      <c r="C214" s="12">
        <f>3.13</f>
        <v>3.13</v>
      </c>
      <c r="D214" s="12">
        <v>3.29</v>
      </c>
      <c r="E214" s="12">
        <v>6.99</v>
      </c>
      <c r="F214" s="12">
        <v>77.88</v>
      </c>
      <c r="G214" s="3" t="s">
        <v>198</v>
      </c>
    </row>
    <row r="215" spans="1:7" ht="33" customHeight="1">
      <c r="A215" s="4" t="s">
        <v>51</v>
      </c>
      <c r="B215" s="3">
        <v>250</v>
      </c>
      <c r="C215" s="12">
        <v>1.9</v>
      </c>
      <c r="D215" s="12">
        <v>6.66</v>
      </c>
      <c r="E215" s="12">
        <v>10.81</v>
      </c>
      <c r="F215" s="12">
        <v>111.11</v>
      </c>
      <c r="G215" s="9" t="s">
        <v>137</v>
      </c>
    </row>
    <row r="216" spans="1:7" ht="54.75" customHeight="1">
      <c r="A216" s="20" t="s">
        <v>117</v>
      </c>
      <c r="B216" s="3">
        <v>250</v>
      </c>
      <c r="C216" s="12">
        <f>22.54/2.2*2.5</f>
        <v>25.61363636363636</v>
      </c>
      <c r="D216" s="12">
        <f>17.33/2.2*2.5</f>
        <v>19.693181818181817</v>
      </c>
      <c r="E216" s="12">
        <f>22.13/2.2*2.5</f>
        <v>25.147727272727273</v>
      </c>
      <c r="F216" s="12">
        <f>334.08/2.2*2.5</f>
        <v>379.6363636363636</v>
      </c>
      <c r="G216" s="62" t="s">
        <v>174</v>
      </c>
    </row>
    <row r="217" spans="1:7" ht="37.5" customHeight="1">
      <c r="A217" s="4" t="s">
        <v>42</v>
      </c>
      <c r="B217" s="3">
        <v>200</v>
      </c>
      <c r="C217" s="12">
        <v>0.196</v>
      </c>
      <c r="D217" s="12">
        <v>0.039</v>
      </c>
      <c r="E217" s="12">
        <v>25.21</v>
      </c>
      <c r="F217" s="12">
        <v>97.855</v>
      </c>
      <c r="G217" s="1" t="s">
        <v>118</v>
      </c>
    </row>
    <row r="218" spans="1:7" ht="33.75" customHeight="1">
      <c r="A218" s="4" t="s">
        <v>35</v>
      </c>
      <c r="B218" s="3" t="s">
        <v>215</v>
      </c>
      <c r="C218" s="12">
        <v>11.76</v>
      </c>
      <c r="D218" s="12">
        <f>0.89/90*142</f>
        <v>1.4042222222222223</v>
      </c>
      <c r="E218" s="12">
        <v>86.8</v>
      </c>
      <c r="F218" s="12">
        <v>101.2</v>
      </c>
      <c r="G218" s="2" t="s">
        <v>40</v>
      </c>
    </row>
    <row r="219" spans="1:7" ht="36.75" customHeight="1">
      <c r="A219" s="103" t="s">
        <v>182</v>
      </c>
      <c r="B219" s="104">
        <f>100+250+250+200+70+72</f>
        <v>942</v>
      </c>
      <c r="C219" s="105">
        <f>SUM(C213:C218)</f>
        <v>42.599636363636364</v>
      </c>
      <c r="D219" s="105">
        <f>SUM(D213:D218)</f>
        <v>31.08640404040404</v>
      </c>
      <c r="E219" s="105">
        <f>SUM(E213:E218)</f>
        <v>154.95772727272725</v>
      </c>
      <c r="F219" s="112">
        <f>SUM(F213:F218)</f>
        <v>767.6813636363637</v>
      </c>
      <c r="G219" s="106"/>
    </row>
    <row r="220" spans="1:7" ht="19.5" customHeight="1">
      <c r="A220" s="144" t="s">
        <v>9</v>
      </c>
      <c r="B220" s="151"/>
      <c r="C220" s="151"/>
      <c r="D220" s="151"/>
      <c r="E220" s="151"/>
      <c r="F220" s="151"/>
      <c r="G220" s="2"/>
    </row>
    <row r="221" spans="1:7" ht="39" customHeight="1">
      <c r="A221" s="4" t="s">
        <v>150</v>
      </c>
      <c r="B221" s="3">
        <v>200</v>
      </c>
      <c r="C221" s="12">
        <v>5.59</v>
      </c>
      <c r="D221" s="12">
        <v>6.38</v>
      </c>
      <c r="E221" s="12">
        <v>9.38</v>
      </c>
      <c r="F221" s="12">
        <v>117.31</v>
      </c>
      <c r="G221" s="2" t="s">
        <v>88</v>
      </c>
    </row>
    <row r="222" spans="1:7" ht="26.25" customHeight="1">
      <c r="A222" s="4" t="s">
        <v>191</v>
      </c>
      <c r="B222" s="2">
        <v>60</v>
      </c>
      <c r="C222" s="1">
        <v>7.08</v>
      </c>
      <c r="D222" s="1">
        <v>2.63</v>
      </c>
      <c r="E222" s="1">
        <v>41.81</v>
      </c>
      <c r="F222" s="1">
        <v>119.07</v>
      </c>
      <c r="G222" s="2" t="s">
        <v>40</v>
      </c>
    </row>
    <row r="223" spans="1:7" ht="19.5" customHeight="1">
      <c r="A223" s="4" t="s">
        <v>184</v>
      </c>
      <c r="B223" s="3" t="s">
        <v>80</v>
      </c>
      <c r="C223" s="12">
        <v>2</v>
      </c>
      <c r="D223" s="12">
        <v>12</v>
      </c>
      <c r="E223" s="12">
        <v>84</v>
      </c>
      <c r="F223" s="12">
        <v>117.5</v>
      </c>
      <c r="G223" s="2" t="s">
        <v>40</v>
      </c>
    </row>
    <row r="224" spans="1:7" ht="24.75" customHeight="1">
      <c r="A224" s="107" t="s">
        <v>183</v>
      </c>
      <c r="B224" s="108">
        <v>410</v>
      </c>
      <c r="C224" s="109">
        <f>SUM(C221:C223)</f>
        <v>14.67</v>
      </c>
      <c r="D224" s="109">
        <f>SUM(D221:D223)</f>
        <v>21.009999999999998</v>
      </c>
      <c r="E224" s="109">
        <f>SUM(E221:E223)</f>
        <v>135.19</v>
      </c>
      <c r="F224" s="109">
        <f>SUM(F221:F223)</f>
        <v>353.88</v>
      </c>
      <c r="G224" s="110"/>
    </row>
    <row r="225" spans="1:7" ht="24.75" customHeight="1">
      <c r="A225" s="107" t="s">
        <v>24</v>
      </c>
      <c r="B225" s="114"/>
      <c r="C225" s="115">
        <f>C212+C219+C224</f>
        <v>71.40963636363637</v>
      </c>
      <c r="D225" s="115">
        <f>D212+D219+D224</f>
        <v>72.97140404040404</v>
      </c>
      <c r="E225" s="115">
        <f>E212+E219+E224</f>
        <v>358.52022727272725</v>
      </c>
      <c r="F225" s="115">
        <f>F212+F219+F224</f>
        <v>1729.9438636363639</v>
      </c>
      <c r="G225" s="110"/>
    </row>
    <row r="226" spans="1:7" ht="19.5" customHeight="1">
      <c r="A226" s="33"/>
      <c r="B226" s="63"/>
      <c r="C226" s="64"/>
      <c r="D226" s="64"/>
      <c r="E226" s="65"/>
      <c r="F226" s="65"/>
      <c r="G226" s="32"/>
    </row>
    <row r="227" spans="1:7" ht="19.5" customHeight="1">
      <c r="A227" s="28" t="s">
        <v>60</v>
      </c>
      <c r="B227" s="132" t="s">
        <v>64</v>
      </c>
      <c r="C227" s="133"/>
      <c r="D227" s="133"/>
      <c r="E227" s="29"/>
      <c r="F227" s="29"/>
      <c r="G227" s="31"/>
    </row>
    <row r="228" spans="1:7" ht="19.5" customHeight="1">
      <c r="A228" s="28" t="s">
        <v>62</v>
      </c>
      <c r="B228" s="133" t="s">
        <v>63</v>
      </c>
      <c r="C228" s="133"/>
      <c r="D228" s="133"/>
      <c r="E228" s="29"/>
      <c r="F228" s="29"/>
      <c r="G228" s="31"/>
    </row>
    <row r="229" spans="1:7" ht="19.5" customHeight="1">
      <c r="A229" s="137" t="s">
        <v>33</v>
      </c>
      <c r="B229" s="137" t="s">
        <v>31</v>
      </c>
      <c r="C229" s="138" t="s">
        <v>0</v>
      </c>
      <c r="D229" s="138"/>
      <c r="E229" s="138"/>
      <c r="F229" s="138" t="s">
        <v>32</v>
      </c>
      <c r="G229" s="135" t="s">
        <v>25</v>
      </c>
    </row>
    <row r="230" spans="1:7" ht="19.5" customHeight="1">
      <c r="A230" s="136"/>
      <c r="B230" s="136"/>
      <c r="C230" s="25" t="s">
        <v>1</v>
      </c>
      <c r="D230" s="25" t="s">
        <v>2</v>
      </c>
      <c r="E230" s="25" t="s">
        <v>3</v>
      </c>
      <c r="F230" s="139"/>
      <c r="G230" s="136"/>
    </row>
    <row r="231" spans="1:7" ht="19.5" customHeight="1">
      <c r="A231" s="144" t="s">
        <v>20</v>
      </c>
      <c r="B231" s="150"/>
      <c r="C231" s="150"/>
      <c r="D231" s="150"/>
      <c r="E231" s="150"/>
      <c r="F231" s="150"/>
      <c r="G231" s="2"/>
    </row>
    <row r="232" spans="1:7" ht="18.75" customHeight="1">
      <c r="A232" s="144" t="s">
        <v>8</v>
      </c>
      <c r="B232" s="151"/>
      <c r="C232" s="151"/>
      <c r="D232" s="151"/>
      <c r="E232" s="151"/>
      <c r="F232" s="151"/>
      <c r="G232" s="2"/>
    </row>
    <row r="233" spans="1:7" ht="39" customHeight="1">
      <c r="A233" s="4" t="s">
        <v>207</v>
      </c>
      <c r="B233" s="3">
        <v>30</v>
      </c>
      <c r="C233" s="12">
        <f>3.13/100*30</f>
        <v>0.9390000000000001</v>
      </c>
      <c r="D233" s="12">
        <f>3.29/100*30</f>
        <v>0.987</v>
      </c>
      <c r="E233" s="12">
        <f>6.99/100*30</f>
        <v>2.097</v>
      </c>
      <c r="F233" s="12">
        <f>77.88/100*30</f>
        <v>23.363999999999997</v>
      </c>
      <c r="G233" s="3" t="s">
        <v>198</v>
      </c>
    </row>
    <row r="234" spans="1:7" ht="39" customHeight="1">
      <c r="A234" s="4" t="s">
        <v>55</v>
      </c>
      <c r="B234" s="3" t="s">
        <v>85</v>
      </c>
      <c r="C234" s="12">
        <f>5.82/63*150</f>
        <v>13.857142857142858</v>
      </c>
      <c r="D234" s="12">
        <f>9.02/63*150</f>
        <v>21.476190476190478</v>
      </c>
      <c r="E234" s="12">
        <f>1.52/63*150</f>
        <v>3.6190476190476195</v>
      </c>
      <c r="F234" s="12">
        <f>110.54/63*150</f>
        <v>263.1904761904762</v>
      </c>
      <c r="G234" s="9" t="s">
        <v>177</v>
      </c>
    </row>
    <row r="235" spans="1:7" ht="39" customHeight="1">
      <c r="A235" s="4" t="s">
        <v>199</v>
      </c>
      <c r="B235" s="3">
        <v>100</v>
      </c>
      <c r="C235" s="12">
        <v>11.76</v>
      </c>
      <c r="D235" s="12">
        <f>0.89/90*142</f>
        <v>1.4042222222222223</v>
      </c>
      <c r="E235" s="12">
        <v>86.8</v>
      </c>
      <c r="F235" s="12">
        <v>101.2</v>
      </c>
      <c r="G235" s="2" t="s">
        <v>40</v>
      </c>
    </row>
    <row r="236" spans="1:7" ht="39.75" customHeight="1">
      <c r="A236" s="4" t="s">
        <v>90</v>
      </c>
      <c r="B236" s="3" t="s">
        <v>91</v>
      </c>
      <c r="C236" s="12">
        <v>0.2</v>
      </c>
      <c r="D236" s="12" t="s">
        <v>123</v>
      </c>
      <c r="E236" s="12">
        <v>15</v>
      </c>
      <c r="F236" s="12">
        <v>58</v>
      </c>
      <c r="G236" s="9" t="s">
        <v>89</v>
      </c>
    </row>
    <row r="237" spans="1:7" ht="32.25" customHeight="1">
      <c r="A237" s="103" t="s">
        <v>178</v>
      </c>
      <c r="B237" s="104">
        <f>30+205+100+215</f>
        <v>550</v>
      </c>
      <c r="C237" s="105">
        <f>SUM(C233:C236)</f>
        <v>26.75614285714286</v>
      </c>
      <c r="D237" s="105">
        <f>SUM(D233:D236)</f>
        <v>23.8674126984127</v>
      </c>
      <c r="E237" s="105">
        <f>SUM(E233:E236)</f>
        <v>107.51604761904761</v>
      </c>
      <c r="F237" s="105">
        <f>SUM(F233:F236)</f>
        <v>445.75447619047617</v>
      </c>
      <c r="G237" s="106"/>
    </row>
    <row r="238" spans="1:7" ht="21.75" customHeight="1">
      <c r="A238" s="144" t="s">
        <v>5</v>
      </c>
      <c r="B238" s="150"/>
      <c r="C238" s="150"/>
      <c r="D238" s="150"/>
      <c r="E238" s="150"/>
      <c r="F238" s="150"/>
      <c r="G238" s="2"/>
    </row>
    <row r="239" spans="1:7" ht="52.5" customHeight="1">
      <c r="A239" s="4" t="s">
        <v>179</v>
      </c>
      <c r="B239" s="3">
        <v>100</v>
      </c>
      <c r="C239" s="12">
        <f>2.73/2</f>
        <v>1.365</v>
      </c>
      <c r="D239" s="12">
        <f>10.45/2</f>
        <v>5.225</v>
      </c>
      <c r="E239" s="12">
        <f>14.72/2</f>
        <v>7.36</v>
      </c>
      <c r="F239" s="12">
        <f>157.3/2</f>
        <v>78.65</v>
      </c>
      <c r="G239" s="3" t="s">
        <v>180</v>
      </c>
    </row>
    <row r="240" spans="1:7" ht="52.5" customHeight="1">
      <c r="A240" s="4" t="s">
        <v>45</v>
      </c>
      <c r="B240" s="3">
        <v>250</v>
      </c>
      <c r="C240" s="12">
        <v>2.34</v>
      </c>
      <c r="D240" s="12">
        <v>3.89</v>
      </c>
      <c r="E240" s="12">
        <v>13.61</v>
      </c>
      <c r="F240" s="12">
        <v>98.79</v>
      </c>
      <c r="G240" s="6" t="s">
        <v>139</v>
      </c>
    </row>
    <row r="241" spans="1:7" ht="50.25" customHeight="1">
      <c r="A241" s="4" t="s">
        <v>115</v>
      </c>
      <c r="B241" s="3" t="s">
        <v>217</v>
      </c>
      <c r="C241" s="12">
        <f>9.9/7*12.5</f>
        <v>17.67857142857143</v>
      </c>
      <c r="D241" s="12">
        <f>6.7/7*12.5</f>
        <v>11.964285714285715</v>
      </c>
      <c r="E241" s="12">
        <f>6.4/7*12.5</f>
        <v>11.428571428571429</v>
      </c>
      <c r="F241" s="12">
        <f>130.9/7*12.5</f>
        <v>233.75</v>
      </c>
      <c r="G241" s="1" t="s">
        <v>165</v>
      </c>
    </row>
    <row r="242" spans="1:7" ht="67.5" customHeight="1">
      <c r="A242" s="4" t="s">
        <v>46</v>
      </c>
      <c r="B242" s="3">
        <v>200</v>
      </c>
      <c r="C242" s="12">
        <f>2.62*2</f>
        <v>5.24</v>
      </c>
      <c r="D242" s="12">
        <f>3.23*2</f>
        <v>6.46</v>
      </c>
      <c r="E242" s="12">
        <f>13.45*2</f>
        <v>26.9</v>
      </c>
      <c r="F242" s="12">
        <f>87.16*2</f>
        <v>174.32</v>
      </c>
      <c r="G242" s="166" t="s">
        <v>219</v>
      </c>
    </row>
    <row r="243" spans="1:7" ht="45.75" customHeight="1">
      <c r="A243" s="4" t="s">
        <v>86</v>
      </c>
      <c r="B243" s="3">
        <v>200</v>
      </c>
      <c r="C243" s="12">
        <v>2</v>
      </c>
      <c r="D243" s="12">
        <v>0.2</v>
      </c>
      <c r="E243" s="12">
        <v>5.8</v>
      </c>
      <c r="F243" s="12">
        <v>36</v>
      </c>
      <c r="G243" s="3" t="s">
        <v>87</v>
      </c>
    </row>
    <row r="244" spans="1:7" ht="33.75" customHeight="1">
      <c r="A244" s="4" t="s">
        <v>35</v>
      </c>
      <c r="B244" s="3" t="s">
        <v>215</v>
      </c>
      <c r="C244" s="12">
        <v>11.76</v>
      </c>
      <c r="D244" s="12">
        <f>0.89/90*142</f>
        <v>1.4042222222222223</v>
      </c>
      <c r="E244" s="12">
        <v>86.8</v>
      </c>
      <c r="F244" s="12">
        <v>101.2</v>
      </c>
      <c r="G244" s="2" t="s">
        <v>40</v>
      </c>
    </row>
    <row r="245" spans="1:7" ht="27" customHeight="1">
      <c r="A245" s="103" t="s">
        <v>182</v>
      </c>
      <c r="B245" s="104">
        <f>100+250+105+400+70+72</f>
        <v>997</v>
      </c>
      <c r="C245" s="105">
        <f>SUM(C239:C244)</f>
        <v>40.38357142857143</v>
      </c>
      <c r="D245" s="112">
        <f>SUM(D239:D244)</f>
        <v>29.14350793650794</v>
      </c>
      <c r="E245" s="105">
        <f>SUM(E239:E244)</f>
        <v>151.89857142857142</v>
      </c>
      <c r="F245" s="105">
        <f>SUM(F239:F244)</f>
        <v>722.71</v>
      </c>
      <c r="G245" s="106"/>
    </row>
    <row r="246" spans="1:7" ht="15.75" customHeight="1">
      <c r="A246" s="144" t="s">
        <v>9</v>
      </c>
      <c r="B246" s="150"/>
      <c r="C246" s="150"/>
      <c r="D246" s="150"/>
      <c r="E246" s="150"/>
      <c r="F246" s="150"/>
      <c r="G246" s="2"/>
    </row>
    <row r="247" spans="1:7" ht="33.75" customHeight="1">
      <c r="A247" s="4" t="s">
        <v>206</v>
      </c>
      <c r="B247" s="3">
        <v>200</v>
      </c>
      <c r="C247" s="12">
        <v>5.6</v>
      </c>
      <c r="D247" s="12">
        <v>6.38</v>
      </c>
      <c r="E247" s="12">
        <v>8.18</v>
      </c>
      <c r="F247" s="12">
        <v>112.52</v>
      </c>
      <c r="G247" s="2" t="s">
        <v>97</v>
      </c>
    </row>
    <row r="248" spans="1:7" ht="30.75" customHeight="1">
      <c r="A248" s="14" t="s">
        <v>193</v>
      </c>
      <c r="B248" s="15">
        <v>150</v>
      </c>
      <c r="C248" s="21">
        <v>3.95</v>
      </c>
      <c r="D248" s="21">
        <v>4.7</v>
      </c>
      <c r="E248" s="21">
        <v>27.75</v>
      </c>
      <c r="F248" s="44">
        <v>109.2</v>
      </c>
      <c r="G248" s="17" t="s">
        <v>40</v>
      </c>
    </row>
    <row r="249" spans="1:7" ht="32.25" customHeight="1">
      <c r="A249" s="107" t="s">
        <v>183</v>
      </c>
      <c r="B249" s="108">
        <v>350</v>
      </c>
      <c r="C249" s="109">
        <f>SUM(C247:C248)</f>
        <v>9.55</v>
      </c>
      <c r="D249" s="109">
        <f>SUM(D247:D248)</f>
        <v>11.08</v>
      </c>
      <c r="E249" s="109">
        <f>SUM(E247:E248)</f>
        <v>35.93</v>
      </c>
      <c r="F249" s="116">
        <f>SUM(F247:F248)</f>
        <v>221.72</v>
      </c>
      <c r="G249" s="110"/>
    </row>
    <row r="250" spans="1:7" ht="32.25" customHeight="1">
      <c r="A250" s="107" t="s">
        <v>24</v>
      </c>
      <c r="B250" s="108"/>
      <c r="C250" s="109">
        <f>C237+C245+C249</f>
        <v>76.68971428571429</v>
      </c>
      <c r="D250" s="109">
        <f>D237+D245+D249</f>
        <v>64.09092063492064</v>
      </c>
      <c r="E250" s="109">
        <f>E237+E245+E249</f>
        <v>295.344619047619</v>
      </c>
      <c r="F250" s="109">
        <f>F237+F245+F249</f>
        <v>1390.1844761904763</v>
      </c>
      <c r="G250" s="110"/>
    </row>
    <row r="251" spans="1:7" ht="15.75" customHeight="1">
      <c r="A251" s="47"/>
      <c r="B251" s="48"/>
      <c r="C251" s="49"/>
      <c r="D251" s="49"/>
      <c r="E251" s="50"/>
      <c r="F251" s="50"/>
      <c r="G251" s="46"/>
    </row>
    <row r="252" spans="1:7" ht="38.25" customHeight="1">
      <c r="A252" s="28" t="s">
        <v>60</v>
      </c>
      <c r="B252" s="132" t="s">
        <v>64</v>
      </c>
      <c r="C252" s="133"/>
      <c r="D252" s="133"/>
      <c r="E252" s="29"/>
      <c r="F252" s="29"/>
      <c r="G252" s="31"/>
    </row>
    <row r="253" spans="1:7" ht="38.25" customHeight="1">
      <c r="A253" s="28" t="s">
        <v>62</v>
      </c>
      <c r="B253" s="133" t="s">
        <v>63</v>
      </c>
      <c r="C253" s="133"/>
      <c r="D253" s="133"/>
      <c r="E253" s="29"/>
      <c r="F253" s="29"/>
      <c r="G253" s="31"/>
    </row>
    <row r="254" spans="1:7" ht="33" customHeight="1">
      <c r="A254" s="146" t="s">
        <v>33</v>
      </c>
      <c r="B254" s="146" t="s">
        <v>31</v>
      </c>
      <c r="C254" s="139" t="s">
        <v>0</v>
      </c>
      <c r="D254" s="139"/>
      <c r="E254" s="139"/>
      <c r="F254" s="139" t="s">
        <v>32</v>
      </c>
      <c r="G254" s="135" t="s">
        <v>25</v>
      </c>
    </row>
    <row r="255" spans="1:7" ht="33.75" customHeight="1">
      <c r="A255" s="146"/>
      <c r="B255" s="146"/>
      <c r="C255" s="25" t="s">
        <v>1</v>
      </c>
      <c r="D255" s="25" t="s">
        <v>2</v>
      </c>
      <c r="E255" s="25" t="s">
        <v>3</v>
      </c>
      <c r="F255" s="139"/>
      <c r="G255" s="136"/>
    </row>
    <row r="256" spans="1:7" ht="27.75" customHeight="1">
      <c r="A256" s="146" t="s">
        <v>21</v>
      </c>
      <c r="B256" s="152"/>
      <c r="C256" s="152"/>
      <c r="D256" s="152"/>
      <c r="E256" s="152"/>
      <c r="F256" s="152"/>
      <c r="G256" s="2"/>
    </row>
    <row r="257" spans="1:7" ht="27.75" customHeight="1">
      <c r="A257" s="146" t="s">
        <v>4</v>
      </c>
      <c r="B257" s="152"/>
      <c r="C257" s="152"/>
      <c r="D257" s="152"/>
      <c r="E257" s="152"/>
      <c r="F257" s="152"/>
      <c r="G257" s="2"/>
    </row>
    <row r="258" spans="1:7" ht="59.25" customHeight="1">
      <c r="A258" s="4" t="s">
        <v>211</v>
      </c>
      <c r="B258" s="3" t="s">
        <v>205</v>
      </c>
      <c r="C258" s="12">
        <f>6.2/2*2.5</f>
        <v>7.75</v>
      </c>
      <c r="D258" s="12">
        <f>8.05/2*2.5</f>
        <v>10.0625</v>
      </c>
      <c r="E258" s="12">
        <f>31.09/2*2.5</f>
        <v>38.8625</v>
      </c>
      <c r="F258" s="12">
        <f>222.02/2*2.5</f>
        <v>277.52500000000003</v>
      </c>
      <c r="G258" s="3" t="s">
        <v>212</v>
      </c>
    </row>
    <row r="259" spans="1:7" ht="28.5" customHeight="1">
      <c r="A259" s="4" t="s">
        <v>41</v>
      </c>
      <c r="B259" s="3">
        <v>20</v>
      </c>
      <c r="C259" s="12">
        <f>6.96/3*2</f>
        <v>4.64</v>
      </c>
      <c r="D259" s="12">
        <f>8.85/3*2</f>
        <v>5.8999999999999995</v>
      </c>
      <c r="E259" s="12" t="s">
        <v>123</v>
      </c>
      <c r="F259" s="12">
        <f>109.2/3*2</f>
        <v>72.8</v>
      </c>
      <c r="G259" s="3" t="s">
        <v>83</v>
      </c>
    </row>
    <row r="260" spans="1:7" ht="28.5" customHeight="1">
      <c r="A260" s="4" t="s">
        <v>92</v>
      </c>
      <c r="B260" s="5" t="s">
        <v>93</v>
      </c>
      <c r="C260" s="12">
        <v>1.7</v>
      </c>
      <c r="D260" s="12">
        <v>5.1</v>
      </c>
      <c r="E260" s="12">
        <v>10.26</v>
      </c>
      <c r="F260" s="12">
        <v>183.6</v>
      </c>
      <c r="G260" s="3" t="s">
        <v>124</v>
      </c>
    </row>
    <row r="261" spans="1:7" ht="37.5" customHeight="1">
      <c r="A261" s="4" t="s">
        <v>37</v>
      </c>
      <c r="B261" s="3" t="s">
        <v>104</v>
      </c>
      <c r="C261" s="43">
        <v>0.07</v>
      </c>
      <c r="D261" s="12">
        <v>0.01</v>
      </c>
      <c r="E261" s="12">
        <v>15.31</v>
      </c>
      <c r="F261" s="12">
        <v>61.62</v>
      </c>
      <c r="G261" s="9" t="s">
        <v>103</v>
      </c>
    </row>
    <row r="262" spans="1:7" ht="46.5" customHeight="1">
      <c r="A262" s="103" t="s">
        <v>178</v>
      </c>
      <c r="B262" s="104">
        <f>255+20+60+215+7</f>
        <v>557</v>
      </c>
      <c r="C262" s="105">
        <f>SUM(C258:C261)</f>
        <v>14.16</v>
      </c>
      <c r="D262" s="112">
        <f>SUM(D258:D261)</f>
        <v>21.0725</v>
      </c>
      <c r="E262" s="112">
        <f>SUM(E258:E261)</f>
        <v>64.43249999999999</v>
      </c>
      <c r="F262" s="112">
        <f>SUM(F258:F261)</f>
        <v>595.5450000000001</v>
      </c>
      <c r="G262" s="106"/>
    </row>
    <row r="263" spans="1:7" ht="20.25">
      <c r="A263" s="144" t="s">
        <v>12</v>
      </c>
      <c r="B263" s="150"/>
      <c r="C263" s="150"/>
      <c r="D263" s="150"/>
      <c r="E263" s="150"/>
      <c r="F263" s="150"/>
      <c r="G263" s="2"/>
    </row>
    <row r="264" spans="1:7" ht="42.75" customHeight="1">
      <c r="A264" s="4" t="s">
        <v>200</v>
      </c>
      <c r="B264" s="3">
        <v>100</v>
      </c>
      <c r="C264" s="12">
        <v>1.1</v>
      </c>
      <c r="D264" s="12">
        <v>0.2</v>
      </c>
      <c r="E264" s="12">
        <v>4.6</v>
      </c>
      <c r="F264" s="12">
        <f>11.5*2</f>
        <v>23</v>
      </c>
      <c r="G264" s="3" t="s">
        <v>197</v>
      </c>
    </row>
    <row r="265" spans="1:7" ht="46.5" customHeight="1">
      <c r="A265" s="4" t="s">
        <v>98</v>
      </c>
      <c r="B265" s="3">
        <v>250</v>
      </c>
      <c r="C265" s="12">
        <v>6.22</v>
      </c>
      <c r="D265" s="12">
        <v>8.21</v>
      </c>
      <c r="E265" s="12">
        <v>18.39</v>
      </c>
      <c r="F265" s="12">
        <v>170.98</v>
      </c>
      <c r="G265" s="3" t="s">
        <v>99</v>
      </c>
    </row>
    <row r="266" spans="1:7" ht="42" customHeight="1">
      <c r="A266" s="4" t="s">
        <v>158</v>
      </c>
      <c r="B266" s="3">
        <v>150</v>
      </c>
      <c r="C266" s="12">
        <v>21.42</v>
      </c>
      <c r="D266" s="12">
        <v>24.23</v>
      </c>
      <c r="E266" s="12">
        <v>14.57</v>
      </c>
      <c r="F266" s="12">
        <v>363.05</v>
      </c>
      <c r="G266" s="1" t="s">
        <v>147</v>
      </c>
    </row>
    <row r="267" spans="1:7" ht="37.5" customHeight="1">
      <c r="A267" s="4" t="s">
        <v>109</v>
      </c>
      <c r="B267" s="3">
        <v>200</v>
      </c>
      <c r="C267" s="12">
        <f>2.13*2</f>
        <v>4.26</v>
      </c>
      <c r="D267" s="12">
        <v>8.08</v>
      </c>
      <c r="E267" s="12">
        <f>15.53*2</f>
        <v>31.06</v>
      </c>
      <c r="F267" s="12">
        <f>106.97*2</f>
        <v>213.94</v>
      </c>
      <c r="G267" s="9" t="s">
        <v>173</v>
      </c>
    </row>
    <row r="268" spans="1:7" ht="48.75" customHeight="1">
      <c r="A268" s="4" t="s">
        <v>119</v>
      </c>
      <c r="B268" s="3">
        <v>200</v>
      </c>
      <c r="C268" s="12">
        <v>0.68</v>
      </c>
      <c r="D268" s="12" t="s">
        <v>123</v>
      </c>
      <c r="E268" s="12">
        <v>21.01</v>
      </c>
      <c r="F268" s="12">
        <v>46.87</v>
      </c>
      <c r="G268" s="1" t="s">
        <v>120</v>
      </c>
    </row>
    <row r="269" spans="1:7" ht="33.75" customHeight="1">
      <c r="A269" s="4" t="s">
        <v>35</v>
      </c>
      <c r="B269" s="3" t="s">
        <v>215</v>
      </c>
      <c r="C269" s="12">
        <v>11.76</v>
      </c>
      <c r="D269" s="12">
        <f>0.89/90*142</f>
        <v>1.4042222222222223</v>
      </c>
      <c r="E269" s="12">
        <v>86.8</v>
      </c>
      <c r="F269" s="12">
        <v>101.2</v>
      </c>
      <c r="G269" s="2" t="s">
        <v>40</v>
      </c>
    </row>
    <row r="270" spans="1:7" ht="31.5" customHeight="1">
      <c r="A270" s="103" t="s">
        <v>182</v>
      </c>
      <c r="B270" s="104">
        <f>100+250+130+400+70+72</f>
        <v>1022</v>
      </c>
      <c r="C270" s="105">
        <f>SUM(C264:C269)</f>
        <v>45.44</v>
      </c>
      <c r="D270" s="112">
        <f>SUM(D264:D269)</f>
        <v>42.12422222222222</v>
      </c>
      <c r="E270" s="113">
        <f>SUM(E264:E269)</f>
        <v>176.43</v>
      </c>
      <c r="F270" s="112">
        <f>SUM(F264:F269)</f>
        <v>919.0400000000001</v>
      </c>
      <c r="G270" s="106"/>
    </row>
    <row r="271" spans="1:7" ht="20.25">
      <c r="A271" s="144" t="s">
        <v>6</v>
      </c>
      <c r="B271" s="150"/>
      <c r="C271" s="150"/>
      <c r="D271" s="150"/>
      <c r="E271" s="150"/>
      <c r="F271" s="150"/>
      <c r="G271" s="2"/>
    </row>
    <row r="272" spans="1:7" ht="33" customHeight="1">
      <c r="A272" s="4" t="s">
        <v>206</v>
      </c>
      <c r="B272" s="3">
        <v>200</v>
      </c>
      <c r="C272" s="12">
        <v>5.6</v>
      </c>
      <c r="D272" s="12">
        <v>6.38</v>
      </c>
      <c r="E272" s="12">
        <v>8.18</v>
      </c>
      <c r="F272" s="12">
        <v>112.52</v>
      </c>
      <c r="G272" s="3" t="s">
        <v>97</v>
      </c>
    </row>
    <row r="273" spans="1:7" ht="31.5" customHeight="1">
      <c r="A273" s="10" t="s">
        <v>10</v>
      </c>
      <c r="B273" s="1">
        <v>150</v>
      </c>
      <c r="C273" s="22">
        <v>3.75</v>
      </c>
      <c r="D273" s="22">
        <v>4.9</v>
      </c>
      <c r="E273" s="22">
        <v>37.2</v>
      </c>
      <c r="F273" s="22">
        <v>108.5</v>
      </c>
      <c r="G273" s="2" t="s">
        <v>40</v>
      </c>
    </row>
    <row r="274" spans="1:7" ht="31.5" customHeight="1">
      <c r="A274" s="107" t="s">
        <v>183</v>
      </c>
      <c r="B274" s="108">
        <v>350</v>
      </c>
      <c r="C274" s="109">
        <f>SUM(C272:C273)</f>
        <v>9.35</v>
      </c>
      <c r="D274" s="109">
        <f>SUM(D272:D273)</f>
        <v>11.280000000000001</v>
      </c>
      <c r="E274" s="109">
        <f>SUM(E272:E273)</f>
        <v>45.38</v>
      </c>
      <c r="F274" s="109">
        <f>SUM(F272:F273)</f>
        <v>221.01999999999998</v>
      </c>
      <c r="G274" s="110"/>
    </row>
    <row r="275" spans="1:7" ht="31.5" customHeight="1">
      <c r="A275" s="107" t="s">
        <v>24</v>
      </c>
      <c r="B275" s="108"/>
      <c r="C275" s="109">
        <f>C262+C270+C274</f>
        <v>68.94999999999999</v>
      </c>
      <c r="D275" s="109">
        <f>D262+D270+D274</f>
        <v>74.47672222222222</v>
      </c>
      <c r="E275" s="109">
        <f>E262+E270+E274</f>
        <v>286.2425</v>
      </c>
      <c r="F275" s="109">
        <f>F262+F270+F274</f>
        <v>1735.605</v>
      </c>
      <c r="G275" s="110"/>
    </row>
    <row r="276" spans="1:7" ht="20.25">
      <c r="A276" s="33"/>
      <c r="B276" s="34"/>
      <c r="C276" s="35"/>
      <c r="D276" s="35"/>
      <c r="E276" s="37"/>
      <c r="F276" s="37"/>
      <c r="G276" s="32"/>
    </row>
    <row r="277" spans="1:7" ht="20.25">
      <c r="A277" s="28" t="s">
        <v>60</v>
      </c>
      <c r="B277" s="132" t="s">
        <v>64</v>
      </c>
      <c r="C277" s="133"/>
      <c r="D277" s="133"/>
      <c r="E277" s="29"/>
      <c r="F277" s="29"/>
      <c r="G277" s="31"/>
    </row>
    <row r="278" spans="1:7" ht="20.25">
      <c r="A278" s="28" t="s">
        <v>62</v>
      </c>
      <c r="B278" s="133" t="s">
        <v>63</v>
      </c>
      <c r="C278" s="133"/>
      <c r="D278" s="133"/>
      <c r="E278" s="29"/>
      <c r="F278" s="29"/>
      <c r="G278" s="31"/>
    </row>
    <row r="279" spans="1:7" ht="18" customHeight="1">
      <c r="A279" s="137" t="s">
        <v>33</v>
      </c>
      <c r="B279" s="137" t="s">
        <v>31</v>
      </c>
      <c r="C279" s="138" t="s">
        <v>0</v>
      </c>
      <c r="D279" s="138"/>
      <c r="E279" s="138"/>
      <c r="F279" s="138" t="s">
        <v>32</v>
      </c>
      <c r="G279" s="135" t="s">
        <v>25</v>
      </c>
    </row>
    <row r="280" spans="1:7" ht="20.25">
      <c r="A280" s="136"/>
      <c r="B280" s="136"/>
      <c r="C280" s="25" t="s">
        <v>1</v>
      </c>
      <c r="D280" s="25" t="s">
        <v>2</v>
      </c>
      <c r="E280" s="25" t="s">
        <v>3</v>
      </c>
      <c r="F280" s="139"/>
      <c r="G280" s="136"/>
    </row>
    <row r="281" spans="1:7" ht="20.25">
      <c r="A281" s="144" t="s">
        <v>22</v>
      </c>
      <c r="B281" s="150"/>
      <c r="C281" s="150"/>
      <c r="D281" s="150"/>
      <c r="E281" s="150"/>
      <c r="F281" s="150"/>
      <c r="G281" s="2"/>
    </row>
    <row r="282" spans="1:7" ht="20.25">
      <c r="A282" s="144" t="s">
        <v>4</v>
      </c>
      <c r="B282" s="150"/>
      <c r="C282" s="150"/>
      <c r="D282" s="150"/>
      <c r="E282" s="150"/>
      <c r="F282" s="150"/>
      <c r="G282" s="2"/>
    </row>
    <row r="283" spans="1:7" ht="42.75" customHeight="1">
      <c r="A283" s="20" t="s">
        <v>44</v>
      </c>
      <c r="B283" s="3">
        <v>250</v>
      </c>
      <c r="C283" s="12">
        <f>6.56*2.5</f>
        <v>16.4</v>
      </c>
      <c r="D283" s="12">
        <f>6.69*2.5</f>
        <v>16.725</v>
      </c>
      <c r="E283" s="12">
        <f>4.93*2.5</f>
        <v>12.325</v>
      </c>
      <c r="F283" s="12">
        <f>106.21*2.5</f>
        <v>265.525</v>
      </c>
      <c r="G283" s="3" t="s">
        <v>140</v>
      </c>
    </row>
    <row r="284" spans="1:7" ht="39.75" customHeight="1">
      <c r="A284" s="4" t="s">
        <v>90</v>
      </c>
      <c r="B284" s="3" t="s">
        <v>91</v>
      </c>
      <c r="C284" s="12">
        <v>0.2</v>
      </c>
      <c r="D284" s="12" t="s">
        <v>123</v>
      </c>
      <c r="E284" s="12">
        <v>15</v>
      </c>
      <c r="F284" s="12">
        <v>58</v>
      </c>
      <c r="G284" s="9" t="s">
        <v>89</v>
      </c>
    </row>
    <row r="285" spans="1:7" ht="33" customHeight="1">
      <c r="A285" s="4" t="s">
        <v>35</v>
      </c>
      <c r="B285" s="3" t="s">
        <v>153</v>
      </c>
      <c r="C285" s="12">
        <v>13.79</v>
      </c>
      <c r="D285" s="12">
        <v>0.89</v>
      </c>
      <c r="E285" s="12">
        <v>102.55</v>
      </c>
      <c r="F285" s="12">
        <v>99.5</v>
      </c>
      <c r="G285" s="2" t="s">
        <v>40</v>
      </c>
    </row>
    <row r="286" spans="1:7" ht="35.25" customHeight="1">
      <c r="A286" s="103" t="s">
        <v>178</v>
      </c>
      <c r="B286" s="104">
        <f>250+215+90</f>
        <v>555</v>
      </c>
      <c r="C286" s="105">
        <f>SUM(C283:C285)</f>
        <v>30.389999999999997</v>
      </c>
      <c r="D286" s="112">
        <f>SUM(D283:D285)</f>
        <v>17.615000000000002</v>
      </c>
      <c r="E286" s="112">
        <f>SUM(E283:E285)</f>
        <v>129.875</v>
      </c>
      <c r="F286" s="112">
        <f>SUM(F283:F285)</f>
        <v>423.025</v>
      </c>
      <c r="G286" s="106"/>
    </row>
    <row r="287" spans="1:6" s="45" customFormat="1" ht="20.25">
      <c r="A287" s="145"/>
      <c r="B287" s="145"/>
      <c r="C287" s="145"/>
      <c r="D287" s="145"/>
      <c r="E287" s="145"/>
      <c r="F287" s="145"/>
    </row>
    <row r="288" spans="1:7" s="45" customFormat="1" ht="20.25">
      <c r="A288" s="144" t="s">
        <v>12</v>
      </c>
      <c r="B288" s="150"/>
      <c r="C288" s="150"/>
      <c r="D288" s="150"/>
      <c r="E288" s="150"/>
      <c r="F288" s="150"/>
      <c r="G288" s="2"/>
    </row>
    <row r="289" spans="1:7" ht="42.75" customHeight="1">
      <c r="A289" s="4" t="s">
        <v>54</v>
      </c>
      <c r="B289" s="3">
        <v>100</v>
      </c>
      <c r="C289" s="12">
        <f>4.54/2</f>
        <v>2.27</v>
      </c>
      <c r="D289" s="12">
        <f>15.14/2</f>
        <v>7.57</v>
      </c>
      <c r="E289" s="12">
        <f>27.23/2</f>
        <v>13.615</v>
      </c>
      <c r="F289" s="12">
        <f>239.18/2</f>
        <v>119.59</v>
      </c>
      <c r="G289" s="3" t="s">
        <v>125</v>
      </c>
    </row>
    <row r="290" spans="1:7" s="45" customFormat="1" ht="35.25" customHeight="1">
      <c r="A290" s="4" t="s">
        <v>52</v>
      </c>
      <c r="B290" s="3" t="s">
        <v>167</v>
      </c>
      <c r="C290" s="12">
        <v>9.76</v>
      </c>
      <c r="D290" s="12">
        <v>6.82</v>
      </c>
      <c r="E290" s="12">
        <v>19.01</v>
      </c>
      <c r="F290" s="12">
        <v>175.1</v>
      </c>
      <c r="G290" s="6" t="s">
        <v>132</v>
      </c>
    </row>
    <row r="291" spans="1:7" ht="43.5" customHeight="1">
      <c r="A291" s="4" t="s">
        <v>112</v>
      </c>
      <c r="B291" s="3">
        <v>200</v>
      </c>
      <c r="C291" s="12">
        <f>18.78/125*200</f>
        <v>30.048000000000002</v>
      </c>
      <c r="D291" s="12">
        <f>22.85/125*200</f>
        <v>36.56</v>
      </c>
      <c r="E291" s="12">
        <f>45.12/125*200</f>
        <v>72.19200000000001</v>
      </c>
      <c r="F291" s="12">
        <f>461.23/125*200</f>
        <v>737.9680000000001</v>
      </c>
      <c r="G291" s="9" t="s">
        <v>134</v>
      </c>
    </row>
    <row r="292" spans="1:7" ht="43.5" customHeight="1">
      <c r="A292" s="4" t="s">
        <v>176</v>
      </c>
      <c r="B292" s="3">
        <v>200</v>
      </c>
      <c r="C292" s="12">
        <f>2.09*2</f>
        <v>4.18</v>
      </c>
      <c r="D292" s="12">
        <f>4.69*2</f>
        <v>9.38</v>
      </c>
      <c r="E292" s="12">
        <f>18.14*2</f>
        <v>36.28</v>
      </c>
      <c r="F292" s="12">
        <f>121.64*2</f>
        <v>243.28</v>
      </c>
      <c r="G292" s="9" t="s">
        <v>175</v>
      </c>
    </row>
    <row r="293" spans="1:7" ht="48" customHeight="1">
      <c r="A293" s="4" t="s">
        <v>86</v>
      </c>
      <c r="B293" s="3">
        <v>200</v>
      </c>
      <c r="C293" s="12">
        <v>2</v>
      </c>
      <c r="D293" s="12">
        <v>0.2</v>
      </c>
      <c r="E293" s="12">
        <v>5.8</v>
      </c>
      <c r="F293" s="12">
        <v>36</v>
      </c>
      <c r="G293" s="3" t="s">
        <v>87</v>
      </c>
    </row>
    <row r="294" spans="1:7" ht="33.75" customHeight="1">
      <c r="A294" s="4" t="s">
        <v>35</v>
      </c>
      <c r="B294" s="3" t="s">
        <v>215</v>
      </c>
      <c r="C294" s="12">
        <v>11.76</v>
      </c>
      <c r="D294" s="12">
        <f>0.89/90*142</f>
        <v>1.4042222222222223</v>
      </c>
      <c r="E294" s="12">
        <v>86.8</v>
      </c>
      <c r="F294" s="12">
        <v>101.2</v>
      </c>
      <c r="G294" s="2" t="s">
        <v>40</v>
      </c>
    </row>
    <row r="295" spans="1:7" ht="29.25" customHeight="1">
      <c r="A295" s="103" t="s">
        <v>182</v>
      </c>
      <c r="B295" s="104">
        <f>60+25+250+125+150+200+90</f>
        <v>900</v>
      </c>
      <c r="C295" s="105">
        <f>SUM(C289:C294)</f>
        <v>60.018</v>
      </c>
      <c r="D295" s="112">
        <f>SUM(D289:D294)</f>
        <v>61.93422222222223</v>
      </c>
      <c r="E295" s="113">
        <f>SUM(E289:E294)</f>
        <v>233.697</v>
      </c>
      <c r="F295" s="112">
        <f>SUM(F289:F294)</f>
        <v>1413.1380000000001</v>
      </c>
      <c r="G295" s="106"/>
    </row>
    <row r="296" spans="1:7" ht="20.25">
      <c r="A296" s="144" t="s">
        <v>6</v>
      </c>
      <c r="B296" s="145"/>
      <c r="C296" s="145"/>
      <c r="D296" s="145"/>
      <c r="E296" s="145"/>
      <c r="F296" s="145"/>
      <c r="G296" s="2"/>
    </row>
    <row r="298" spans="1:7" ht="39" customHeight="1">
      <c r="A298" s="4" t="s">
        <v>194</v>
      </c>
      <c r="B298" s="3">
        <v>200</v>
      </c>
      <c r="C298" s="12">
        <v>5.59</v>
      </c>
      <c r="D298" s="12">
        <v>6.38</v>
      </c>
      <c r="E298" s="12">
        <v>9.38</v>
      </c>
      <c r="F298" s="12">
        <v>117.31</v>
      </c>
      <c r="G298" s="2" t="s">
        <v>88</v>
      </c>
    </row>
    <row r="299" spans="1:7" ht="30" customHeight="1">
      <c r="A299" s="4" t="s">
        <v>151</v>
      </c>
      <c r="B299" s="3" t="s">
        <v>80</v>
      </c>
      <c r="C299" s="12">
        <v>1</v>
      </c>
      <c r="D299" s="12">
        <v>1</v>
      </c>
      <c r="E299" s="12">
        <v>24.5</v>
      </c>
      <c r="F299" s="12">
        <v>57.5</v>
      </c>
      <c r="G299" s="2" t="s">
        <v>40</v>
      </c>
    </row>
    <row r="300" spans="1:7" ht="30" customHeight="1">
      <c r="A300" s="4" t="s">
        <v>86</v>
      </c>
      <c r="B300" s="3">
        <v>200</v>
      </c>
      <c r="C300" s="12">
        <v>2</v>
      </c>
      <c r="D300" s="12">
        <v>0.2</v>
      </c>
      <c r="E300" s="12">
        <v>5.8</v>
      </c>
      <c r="F300" s="12">
        <v>36</v>
      </c>
      <c r="G300" s="3" t="s">
        <v>87</v>
      </c>
    </row>
    <row r="301" spans="1:7" ht="38.25" customHeight="1">
      <c r="A301" s="10" t="s">
        <v>160</v>
      </c>
      <c r="B301" s="1">
        <v>50</v>
      </c>
      <c r="C301" s="22">
        <v>6.65</v>
      </c>
      <c r="D301" s="22">
        <v>1.8</v>
      </c>
      <c r="E301" s="22">
        <v>27.8</v>
      </c>
      <c r="F301" s="22">
        <v>147.5</v>
      </c>
      <c r="G301" s="1" t="s">
        <v>159</v>
      </c>
    </row>
    <row r="302" spans="1:7" ht="20.25">
      <c r="A302" s="107" t="s">
        <v>183</v>
      </c>
      <c r="B302" s="108">
        <v>600</v>
      </c>
      <c r="C302" s="109">
        <f>SUM(C243:C301)</f>
        <v>552.8392857142857</v>
      </c>
      <c r="D302" s="109">
        <f>SUM(D243:D301)</f>
        <v>508.9072619047619</v>
      </c>
      <c r="E302" s="109">
        <f>SUM(E243:E301)</f>
        <v>2265.054690476191</v>
      </c>
      <c r="F302" s="109">
        <f>SUM(F298:F301)</f>
        <v>358.31</v>
      </c>
      <c r="G302" s="110"/>
    </row>
    <row r="303" spans="1:7" ht="20.25">
      <c r="A303" s="107" t="s">
        <v>24</v>
      </c>
      <c r="B303" s="108"/>
      <c r="C303" s="109">
        <f>C286+C295+C302</f>
        <v>643.2472857142857</v>
      </c>
      <c r="D303" s="109">
        <f>D286+D295+D302</f>
        <v>588.4564841269842</v>
      </c>
      <c r="E303" s="109">
        <f>E286+E295+E302</f>
        <v>2628.626690476191</v>
      </c>
      <c r="F303" s="109">
        <f>F286+F295+F302</f>
        <v>2194.473</v>
      </c>
      <c r="G303" s="110"/>
    </row>
    <row r="305" spans="1:7" ht="14.25" customHeight="1">
      <c r="A305" s="47"/>
      <c r="B305" s="48"/>
      <c r="C305" s="49"/>
      <c r="D305" s="49"/>
      <c r="E305" s="50"/>
      <c r="F305" s="50"/>
      <c r="G305" s="46"/>
    </row>
    <row r="306" spans="1:7" ht="35.25" customHeight="1">
      <c r="A306" s="67" t="s">
        <v>23</v>
      </c>
      <c r="B306" s="68"/>
      <c r="C306" s="69"/>
      <c r="D306" s="69"/>
      <c r="E306" s="69"/>
      <c r="F306" s="69"/>
      <c r="G306" s="66"/>
    </row>
    <row r="307" spans="3:7" ht="14.25" customHeight="1">
      <c r="C307" s="13"/>
      <c r="D307" s="13"/>
      <c r="E307" s="13"/>
      <c r="F307" s="13"/>
      <c r="G307" s="66"/>
    </row>
    <row r="308" spans="1:7" ht="14.25" customHeight="1">
      <c r="A308" s="154" t="s">
        <v>38</v>
      </c>
      <c r="B308" s="154"/>
      <c r="C308" s="154"/>
      <c r="D308" s="154"/>
      <c r="E308" s="154"/>
      <c r="F308" s="154"/>
      <c r="G308" s="66"/>
    </row>
    <row r="309" spans="1:7" ht="72" customHeight="1">
      <c r="A309" s="154"/>
      <c r="B309" s="154"/>
      <c r="C309" s="154"/>
      <c r="D309" s="154"/>
      <c r="E309" s="154"/>
      <c r="F309" s="154"/>
      <c r="G309" s="66"/>
    </row>
    <row r="310" spans="1:7" ht="28.5" customHeight="1">
      <c r="A310" s="155" t="s">
        <v>48</v>
      </c>
      <c r="B310" s="155"/>
      <c r="C310" s="155"/>
      <c r="D310" s="155"/>
      <c r="E310" s="155"/>
      <c r="F310" s="155"/>
      <c r="G310" s="66"/>
    </row>
    <row r="311" spans="1:7" ht="40.5" customHeight="1">
      <c r="A311" s="154" t="s">
        <v>26</v>
      </c>
      <c r="B311" s="154"/>
      <c r="C311" s="154"/>
      <c r="D311" s="154"/>
      <c r="E311" s="154"/>
      <c r="F311" s="154"/>
      <c r="G311" s="66"/>
    </row>
    <row r="312" spans="1:7" ht="10.5" customHeight="1">
      <c r="A312" s="70"/>
      <c r="B312" s="70"/>
      <c r="C312" s="70"/>
      <c r="D312" s="70"/>
      <c r="E312" s="70"/>
      <c r="F312" s="70"/>
      <c r="G312" s="66"/>
    </row>
    <row r="313" spans="1:7" ht="40.5" customHeight="1">
      <c r="A313" s="154" t="s">
        <v>195</v>
      </c>
      <c r="B313" s="154"/>
      <c r="C313" s="154"/>
      <c r="D313" s="154"/>
      <c r="E313" s="154"/>
      <c r="F313" s="154"/>
      <c r="G313" s="66"/>
    </row>
    <row r="314" spans="1:12" ht="28.5" customHeight="1">
      <c r="A314" s="155" t="s">
        <v>166</v>
      </c>
      <c r="B314" s="155"/>
      <c r="C314" s="155"/>
      <c r="D314" s="155"/>
      <c r="E314" s="155"/>
      <c r="F314" s="155"/>
      <c r="G314" s="66"/>
      <c r="I314" s="13" t="s">
        <v>65</v>
      </c>
      <c r="J314" s="71">
        <f>F12+F34+F57+F83+F108+F161+F186+F212+F237+F262+F286+F134</f>
        <v>7059.534634920635</v>
      </c>
      <c r="K314" s="71">
        <f>J314*L317/J317</f>
        <v>19.49581446456625</v>
      </c>
      <c r="L314" s="13">
        <v>20</v>
      </c>
    </row>
    <row r="315" spans="1:12" ht="27" customHeight="1">
      <c r="A315" s="154" t="s">
        <v>154</v>
      </c>
      <c r="B315" s="154"/>
      <c r="C315" s="154"/>
      <c r="D315" s="154"/>
      <c r="E315" s="154"/>
      <c r="F315" s="154"/>
      <c r="G315" s="154"/>
      <c r="I315" s="13" t="s">
        <v>66</v>
      </c>
      <c r="J315" s="71">
        <f>F19+F41+F65+F91+F116+F169+F194+F219+F245+F270+F142+F295</f>
        <v>11254.523792207794</v>
      </c>
      <c r="K315" s="71">
        <f>J315*L317/J317</f>
        <v>31.080817516577916</v>
      </c>
      <c r="L315" s="13">
        <v>30</v>
      </c>
    </row>
    <row r="316" spans="1:12" ht="24" customHeight="1">
      <c r="A316" s="161"/>
      <c r="B316" s="161"/>
      <c r="C316" s="161"/>
      <c r="D316" s="161"/>
      <c r="E316" s="161"/>
      <c r="F316" s="161"/>
      <c r="G316" s="66"/>
      <c r="I316" s="13" t="s">
        <v>67</v>
      </c>
      <c r="J316" s="71">
        <f>F23+F45+F70+F95+F120+F173+F198+F224+F249+F274+F147+F302</f>
        <v>3412.2499999999995</v>
      </c>
      <c r="K316" s="72">
        <f>J316*L317/J317</f>
        <v>9.423368018855832</v>
      </c>
      <c r="L316" s="13">
        <v>10</v>
      </c>
    </row>
    <row r="317" spans="1:12" ht="29.25" customHeight="1" thickBot="1">
      <c r="A317" s="134" t="s">
        <v>221</v>
      </c>
      <c r="B317" s="134"/>
      <c r="C317" s="134"/>
      <c r="D317" s="134"/>
      <c r="E317" s="134"/>
      <c r="F317" s="134"/>
      <c r="G317" s="134"/>
      <c r="H317" s="134"/>
      <c r="J317" s="71">
        <f>SUM(J314:J316)</f>
        <v>21726.308427128428</v>
      </c>
      <c r="L317" s="13">
        <f>SUM(L314:L316)</f>
        <v>60</v>
      </c>
    </row>
    <row r="318" spans="1:8" ht="30" customHeight="1" hidden="1" thickBot="1">
      <c r="A318" s="134"/>
      <c r="B318" s="134"/>
      <c r="C318" s="134"/>
      <c r="D318" s="134"/>
      <c r="E318" s="134"/>
      <c r="F318" s="134"/>
      <c r="G318" s="134"/>
      <c r="H318" s="134"/>
    </row>
    <row r="319" spans="1:7" ht="36" customHeight="1">
      <c r="A319" s="156" t="s">
        <v>27</v>
      </c>
      <c r="B319" s="158" t="s">
        <v>28</v>
      </c>
      <c r="C319" s="158"/>
      <c r="D319" s="158"/>
      <c r="E319" s="159" t="s">
        <v>29</v>
      </c>
      <c r="F319" s="117"/>
      <c r="G319" s="73"/>
    </row>
    <row r="320" spans="1:7" ht="16.5" customHeight="1">
      <c r="A320" s="162"/>
      <c r="B320" s="75" t="s">
        <v>1</v>
      </c>
      <c r="C320" s="76" t="s">
        <v>2</v>
      </c>
      <c r="D320" s="76" t="s">
        <v>3</v>
      </c>
      <c r="E320" s="163"/>
      <c r="F320" s="117"/>
      <c r="G320" s="74"/>
    </row>
    <row r="321" spans="1:7" ht="35.25" customHeight="1">
      <c r="A321" s="77" t="s">
        <v>47</v>
      </c>
      <c r="B321" s="78">
        <f>C24+C46+C71+C96+C121+C174+C199+C225+C250+C275+C148+C303</f>
        <v>1527.3302316017316</v>
      </c>
      <c r="C321" s="78">
        <f>D24+D46+D71+D96+D121+D174+D199+D225+D250+D275+D148+D303</f>
        <v>1379.7632056277057</v>
      </c>
      <c r="D321" s="78">
        <f>E24+E46+E71+E96+E121+E174+E199+E225+E250+E275+E148+E303</f>
        <v>6218.235957431458</v>
      </c>
      <c r="E321" s="120">
        <f>F24+F46+F71+F96+F121+F174+F199+F225+F250+F275+F148+F303</f>
        <v>21726.308427128424</v>
      </c>
      <c r="F321" s="118"/>
      <c r="G321" s="67"/>
    </row>
    <row r="322" spans="1:7" ht="20.25">
      <c r="A322" s="77" t="s">
        <v>213</v>
      </c>
      <c r="B322" s="76">
        <f>B321/12</f>
        <v>127.2775193001443</v>
      </c>
      <c r="C322" s="76">
        <f>C321/12</f>
        <v>114.98026713564214</v>
      </c>
      <c r="D322" s="76">
        <f>D321/12</f>
        <v>518.1863297859549</v>
      </c>
      <c r="E322" s="119">
        <f>E321/12</f>
        <v>1810.525702260702</v>
      </c>
      <c r="F322" s="117"/>
      <c r="G322" s="66"/>
    </row>
    <row r="323" spans="1:7" ht="30.75" customHeight="1" thickBot="1">
      <c r="A323" s="82" t="s">
        <v>30</v>
      </c>
      <c r="B323" s="79">
        <f>77*0.6</f>
        <v>46.199999999999996</v>
      </c>
      <c r="C323" s="80">
        <f>79*0.6</f>
        <v>47.4</v>
      </c>
      <c r="D323" s="80">
        <f>335*0.6</f>
        <v>201</v>
      </c>
      <c r="E323" s="121">
        <f>2350*0.6</f>
        <v>1410</v>
      </c>
      <c r="F323" s="117"/>
      <c r="G323" s="66"/>
    </row>
    <row r="324" spans="2:6" ht="20.25" hidden="1">
      <c r="B324" s="72">
        <f>B323*0.05</f>
        <v>2.31</v>
      </c>
      <c r="C324" s="72">
        <f>C323*0.05</f>
        <v>2.37</v>
      </c>
      <c r="D324" s="72">
        <f>D323*0.05</f>
        <v>10.05</v>
      </c>
      <c r="E324" s="72">
        <f>E323*0.05</f>
        <v>70.5</v>
      </c>
      <c r="F324" s="72">
        <f>F323*0.05</f>
        <v>0</v>
      </c>
    </row>
    <row r="325" spans="2:6" ht="20.25" hidden="1">
      <c r="B325" s="71">
        <f>B322-B323</f>
        <v>81.0775193001443</v>
      </c>
      <c r="C325" s="71">
        <f>C322-C323</f>
        <v>67.58026713564215</v>
      </c>
      <c r="D325" s="71">
        <f>D322-D323</f>
        <v>317.18632978595485</v>
      </c>
      <c r="E325" s="71">
        <f>E322-E323</f>
        <v>400.525702260702</v>
      </c>
      <c r="F325" s="71">
        <f>F322-F323</f>
        <v>0</v>
      </c>
    </row>
    <row r="326" spans="2:3" ht="20.25" hidden="1">
      <c r="B326" s="71">
        <f>D323/B323</f>
        <v>4.350649350649351</v>
      </c>
      <c r="C326" s="71">
        <f>D323/C323</f>
        <v>4.2405063291139244</v>
      </c>
    </row>
    <row r="327" spans="2:6" ht="20.25" hidden="1">
      <c r="B327" s="81">
        <v>1</v>
      </c>
      <c r="C327" s="81">
        <v>1</v>
      </c>
      <c r="D327" s="81">
        <v>4</v>
      </c>
      <c r="F327" s="71">
        <v>1</v>
      </c>
    </row>
    <row r="328" spans="2:6" ht="20.25" hidden="1">
      <c r="B328" s="71"/>
      <c r="C328" s="71" t="s">
        <v>145</v>
      </c>
      <c r="D328" s="71">
        <f>D322/B322</f>
        <v>4.071310728204673</v>
      </c>
      <c r="F328" s="71" t="e">
        <f>#REF!/F322</f>
        <v>#REF!</v>
      </c>
    </row>
    <row r="329" spans="2:4" ht="20.25" hidden="1">
      <c r="B329" s="71"/>
      <c r="C329" s="71" t="s">
        <v>146</v>
      </c>
      <c r="D329" s="71">
        <f>D322/C322</f>
        <v>4.506741397414313</v>
      </c>
    </row>
    <row r="330" spans="1:6" ht="51" customHeight="1" thickBot="1">
      <c r="A330" s="153" t="s">
        <v>222</v>
      </c>
      <c r="B330" s="153"/>
      <c r="C330" s="153"/>
      <c r="D330" s="153"/>
      <c r="E330" s="153"/>
      <c r="F330" s="153"/>
    </row>
    <row r="331" spans="1:6" ht="15.75" customHeight="1">
      <c r="A331" s="156" t="s">
        <v>27</v>
      </c>
      <c r="B331" s="158" t="s">
        <v>28</v>
      </c>
      <c r="C331" s="158"/>
      <c r="D331" s="158"/>
      <c r="E331" s="159" t="s">
        <v>29</v>
      </c>
      <c r="F331" s="122"/>
    </row>
    <row r="332" spans="1:6" ht="21" thickBot="1">
      <c r="A332" s="157"/>
      <c r="B332" s="83" t="s">
        <v>1</v>
      </c>
      <c r="C332" s="84" t="s">
        <v>2</v>
      </c>
      <c r="D332" s="84" t="s">
        <v>3</v>
      </c>
      <c r="E332" s="160"/>
      <c r="F332" s="122"/>
    </row>
    <row r="333" spans="1:6" ht="25.5" customHeight="1">
      <c r="A333" s="85" t="s">
        <v>68</v>
      </c>
      <c r="B333" s="86">
        <f>C24</f>
        <v>70.61999999999999</v>
      </c>
      <c r="C333" s="87">
        <f>D24</f>
        <v>58.151722222222226</v>
      </c>
      <c r="D333" s="87">
        <f>E24</f>
        <v>252.41</v>
      </c>
      <c r="E333" s="126">
        <f>F24</f>
        <v>1524.3799999999999</v>
      </c>
      <c r="F333" s="123"/>
    </row>
    <row r="334" spans="1:6" ht="25.5" customHeight="1">
      <c r="A334" s="88" t="s">
        <v>69</v>
      </c>
      <c r="B334" s="89">
        <f>C46</f>
        <v>38.705</v>
      </c>
      <c r="C334" s="90">
        <f>D46</f>
        <v>55.479222222222226</v>
      </c>
      <c r="D334" s="90">
        <f>E46</f>
        <v>217.27</v>
      </c>
      <c r="E334" s="127">
        <f>F46</f>
        <v>1286.88</v>
      </c>
      <c r="F334" s="123"/>
    </row>
    <row r="335" spans="1:6" ht="25.5" customHeight="1">
      <c r="A335" s="88" t="s">
        <v>70</v>
      </c>
      <c r="B335" s="89">
        <f>C71</f>
        <v>117.13857142857142</v>
      </c>
      <c r="C335" s="90">
        <f>D71</f>
        <v>87.55368253968254</v>
      </c>
      <c r="D335" s="90">
        <f>E71</f>
        <v>464.0257142857143</v>
      </c>
      <c r="E335" s="127">
        <f>F71</f>
        <v>2180.3123809523813</v>
      </c>
      <c r="F335" s="123"/>
    </row>
    <row r="336" spans="1:6" ht="25.5" customHeight="1">
      <c r="A336" s="88" t="s">
        <v>71</v>
      </c>
      <c r="B336" s="89">
        <f>C96</f>
        <v>71.5175</v>
      </c>
      <c r="C336" s="90">
        <f>D96</f>
        <v>62.536722222222224</v>
      </c>
      <c r="D336" s="90">
        <f>E96</f>
        <v>289.9025</v>
      </c>
      <c r="E336" s="127">
        <f>F96</f>
        <v>1802.1675</v>
      </c>
      <c r="F336" s="123"/>
    </row>
    <row r="337" spans="1:6" ht="25.5" customHeight="1">
      <c r="A337" s="88" t="s">
        <v>72</v>
      </c>
      <c r="B337" s="91">
        <f>C121</f>
        <v>80.1797619047619</v>
      </c>
      <c r="C337" s="92">
        <f>D121</f>
        <v>68.1926507936508</v>
      </c>
      <c r="D337" s="92">
        <f>E121</f>
        <v>335.6189682539682</v>
      </c>
      <c r="E337" s="128">
        <f>F121</f>
        <v>1635.9206349206352</v>
      </c>
      <c r="F337" s="124"/>
    </row>
    <row r="338" spans="1:6" ht="25.5" customHeight="1">
      <c r="A338" s="88" t="s">
        <v>73</v>
      </c>
      <c r="B338" s="93">
        <f>C148</f>
        <v>110.76085714285715</v>
      </c>
      <c r="C338" s="90">
        <f>D148</f>
        <v>108.05415873015873</v>
      </c>
      <c r="D338" s="90">
        <f>E148</f>
        <v>417.9698571428572</v>
      </c>
      <c r="E338" s="127">
        <f>F148</f>
        <v>2565.7008571428573</v>
      </c>
      <c r="F338" s="123"/>
    </row>
    <row r="339" spans="1:6" ht="25.5" customHeight="1">
      <c r="A339" s="94" t="s">
        <v>74</v>
      </c>
      <c r="B339" s="89">
        <f>C174</f>
        <v>68.37857142857142</v>
      </c>
      <c r="C339" s="90">
        <f>D174</f>
        <v>63.950293650793654</v>
      </c>
      <c r="D339" s="90">
        <f>E174</f>
        <v>268.2382142857143</v>
      </c>
      <c r="E339" s="127">
        <f>F174</f>
        <v>1706.2057142857143</v>
      </c>
      <c r="F339" s="123"/>
    </row>
    <row r="340" spans="1:6" ht="25.5" customHeight="1">
      <c r="A340" s="88" t="s">
        <v>75</v>
      </c>
      <c r="B340" s="89">
        <f>C199</f>
        <v>109.73333333333333</v>
      </c>
      <c r="C340" s="90">
        <f>D199</f>
        <v>75.84922222222224</v>
      </c>
      <c r="D340" s="90">
        <f>E199</f>
        <v>404.0666666666666</v>
      </c>
      <c r="E340" s="127">
        <f>F199</f>
        <v>1974.5349999999999</v>
      </c>
      <c r="F340" s="123"/>
    </row>
    <row r="341" spans="1:6" ht="25.5" customHeight="1">
      <c r="A341" s="88" t="s">
        <v>76</v>
      </c>
      <c r="B341" s="95">
        <f>C225</f>
        <v>71.40963636363637</v>
      </c>
      <c r="C341" s="96">
        <f>D225</f>
        <v>72.97140404040404</v>
      </c>
      <c r="D341" s="96">
        <f>E225</f>
        <v>358.52022727272725</v>
      </c>
      <c r="E341" s="129">
        <f>F225</f>
        <v>1729.9438636363639</v>
      </c>
      <c r="F341" s="125"/>
    </row>
    <row r="342" spans="1:6" ht="25.5" customHeight="1">
      <c r="A342" s="88" t="s">
        <v>77</v>
      </c>
      <c r="B342" s="89">
        <f>C250</f>
        <v>76.68971428571429</v>
      </c>
      <c r="C342" s="90">
        <f>D250</f>
        <v>64.09092063492064</v>
      </c>
      <c r="D342" s="90">
        <f>E250</f>
        <v>295.344619047619</v>
      </c>
      <c r="E342" s="127">
        <f>F250</f>
        <v>1390.1844761904763</v>
      </c>
      <c r="F342" s="123"/>
    </row>
    <row r="343" spans="1:6" ht="25.5" customHeight="1">
      <c r="A343" s="94" t="s">
        <v>78</v>
      </c>
      <c r="B343" s="89">
        <f>C275</f>
        <v>68.94999999999999</v>
      </c>
      <c r="C343" s="90">
        <f>D275</f>
        <v>74.47672222222222</v>
      </c>
      <c r="D343" s="90">
        <f>E275</f>
        <v>286.2425</v>
      </c>
      <c r="E343" s="127">
        <f>F275</f>
        <v>1735.605</v>
      </c>
      <c r="F343" s="123"/>
    </row>
    <row r="344" spans="1:6" ht="25.5" customHeight="1" thickBot="1">
      <c r="A344" s="94" t="s">
        <v>79</v>
      </c>
      <c r="B344" s="93">
        <f>C303</f>
        <v>643.2472857142857</v>
      </c>
      <c r="C344" s="90">
        <f>D303</f>
        <v>588.4564841269842</v>
      </c>
      <c r="D344" s="90">
        <f>E303</f>
        <v>2628.626690476191</v>
      </c>
      <c r="E344" s="127">
        <f>F303</f>
        <v>2194.473</v>
      </c>
      <c r="F344" s="123"/>
    </row>
    <row r="345" spans="1:6" ht="21" thickBot="1">
      <c r="A345" s="97" t="s">
        <v>185</v>
      </c>
      <c r="B345" s="98">
        <f>SUM(B333:B344)</f>
        <v>1527.3302316017316</v>
      </c>
      <c r="C345" s="99">
        <f>SUM(C333:C344)</f>
        <v>1379.7632056277057</v>
      </c>
      <c r="D345" s="99">
        <f>SUM(D333:D344)</f>
        <v>6218.235957431458</v>
      </c>
      <c r="E345" s="130">
        <f>SUM(E333:E344)</f>
        <v>21726.308427128424</v>
      </c>
      <c r="F345" s="118"/>
    </row>
    <row r="346" spans="1:6" ht="21" thickBot="1">
      <c r="A346" s="100" t="s">
        <v>59</v>
      </c>
      <c r="B346" s="101">
        <f>B345/12</f>
        <v>127.2775193001443</v>
      </c>
      <c r="C346" s="102">
        <f>C345/12</f>
        <v>114.98026713564214</v>
      </c>
      <c r="D346" s="102">
        <f>D345/12</f>
        <v>518.1863297859549</v>
      </c>
      <c r="E346" s="131">
        <f>E345/12</f>
        <v>1810.525702260702</v>
      </c>
      <c r="F346" s="117"/>
    </row>
  </sheetData>
  <sheetProtection/>
  <mergeCells count="149">
    <mergeCell ref="A331:A332"/>
    <mergeCell ref="B331:D331"/>
    <mergeCell ref="E331:E332"/>
    <mergeCell ref="A314:F314"/>
    <mergeCell ref="A315:G315"/>
    <mergeCell ref="A316:F316"/>
    <mergeCell ref="A319:A320"/>
    <mergeCell ref="B319:D319"/>
    <mergeCell ref="E319:E320"/>
    <mergeCell ref="B278:D278"/>
    <mergeCell ref="A282:F282"/>
    <mergeCell ref="A287:F287"/>
    <mergeCell ref="A288:F288"/>
    <mergeCell ref="A296:F296"/>
    <mergeCell ref="A330:F330"/>
    <mergeCell ref="A308:F309"/>
    <mergeCell ref="A310:F310"/>
    <mergeCell ref="A311:F311"/>
    <mergeCell ref="A313:F313"/>
    <mergeCell ref="A279:A280"/>
    <mergeCell ref="B279:B280"/>
    <mergeCell ref="C279:E279"/>
    <mergeCell ref="F279:F280"/>
    <mergeCell ref="A281:F281"/>
    <mergeCell ref="A256:F256"/>
    <mergeCell ref="A257:F257"/>
    <mergeCell ref="A263:F263"/>
    <mergeCell ref="A271:F271"/>
    <mergeCell ref="B277:D277"/>
    <mergeCell ref="A232:F232"/>
    <mergeCell ref="A238:F238"/>
    <mergeCell ref="A246:F246"/>
    <mergeCell ref="B252:D252"/>
    <mergeCell ref="B253:D253"/>
    <mergeCell ref="A254:A255"/>
    <mergeCell ref="B254:B255"/>
    <mergeCell ref="C254:E254"/>
    <mergeCell ref="F254:F255"/>
    <mergeCell ref="A231:F231"/>
    <mergeCell ref="A206:F206"/>
    <mergeCell ref="A207:F207"/>
    <mergeCell ref="A213:F213"/>
    <mergeCell ref="A220:F220"/>
    <mergeCell ref="B227:D227"/>
    <mergeCell ref="B228:D228"/>
    <mergeCell ref="A204:A205"/>
    <mergeCell ref="B204:B205"/>
    <mergeCell ref="C204:E204"/>
    <mergeCell ref="F204:F205"/>
    <mergeCell ref="A229:A230"/>
    <mergeCell ref="B229:B230"/>
    <mergeCell ref="C229:E229"/>
    <mergeCell ref="F229:F230"/>
    <mergeCell ref="A182:F182"/>
    <mergeCell ref="A187:F187"/>
    <mergeCell ref="A195:F195"/>
    <mergeCell ref="B202:D202"/>
    <mergeCell ref="B203:D203"/>
    <mergeCell ref="A179:A180"/>
    <mergeCell ref="B179:B180"/>
    <mergeCell ref="C179:E179"/>
    <mergeCell ref="F179:F180"/>
    <mergeCell ref="A181:F181"/>
    <mergeCell ref="A155:F155"/>
    <mergeCell ref="A156:F156"/>
    <mergeCell ref="A162:F162"/>
    <mergeCell ref="A170:F170"/>
    <mergeCell ref="B177:D177"/>
    <mergeCell ref="B178:D178"/>
    <mergeCell ref="A129:F129"/>
    <mergeCell ref="A135:F135"/>
    <mergeCell ref="B151:D151"/>
    <mergeCell ref="B152:D152"/>
    <mergeCell ref="A153:A154"/>
    <mergeCell ref="B153:B154"/>
    <mergeCell ref="C153:E153"/>
    <mergeCell ref="F153:F154"/>
    <mergeCell ref="A143:F143"/>
    <mergeCell ref="A128:F128"/>
    <mergeCell ref="A102:F102"/>
    <mergeCell ref="A103:F103"/>
    <mergeCell ref="A109:F109"/>
    <mergeCell ref="A117:F117"/>
    <mergeCell ref="B124:D124"/>
    <mergeCell ref="B125:D125"/>
    <mergeCell ref="A100:A101"/>
    <mergeCell ref="B100:B101"/>
    <mergeCell ref="C100:E100"/>
    <mergeCell ref="F100:F101"/>
    <mergeCell ref="A126:A127"/>
    <mergeCell ref="B126:B127"/>
    <mergeCell ref="C126:E126"/>
    <mergeCell ref="F126:F127"/>
    <mergeCell ref="A78:F78"/>
    <mergeCell ref="A84:F84"/>
    <mergeCell ref="A92:F92"/>
    <mergeCell ref="B98:D98"/>
    <mergeCell ref="B99:D99"/>
    <mergeCell ref="A75:A76"/>
    <mergeCell ref="B75:B76"/>
    <mergeCell ref="C75:E75"/>
    <mergeCell ref="F75:F76"/>
    <mergeCell ref="A77:F77"/>
    <mergeCell ref="A52:F52"/>
    <mergeCell ref="A53:F53"/>
    <mergeCell ref="A58:F58"/>
    <mergeCell ref="A66:F66"/>
    <mergeCell ref="B73:D73"/>
    <mergeCell ref="B74:D74"/>
    <mergeCell ref="A50:A51"/>
    <mergeCell ref="B50:B51"/>
    <mergeCell ref="C50:E50"/>
    <mergeCell ref="F50:F51"/>
    <mergeCell ref="F27:F28"/>
    <mergeCell ref="A29:F29"/>
    <mergeCell ref="A30:F30"/>
    <mergeCell ref="A35:F35"/>
    <mergeCell ref="A42:F42"/>
    <mergeCell ref="B48:D48"/>
    <mergeCell ref="A1:G1"/>
    <mergeCell ref="A2:G2"/>
    <mergeCell ref="B25:D25"/>
    <mergeCell ref="B26:D26"/>
    <mergeCell ref="A27:A28"/>
    <mergeCell ref="B27:B28"/>
    <mergeCell ref="C27:E27"/>
    <mergeCell ref="A7:F7"/>
    <mergeCell ref="A13:F13"/>
    <mergeCell ref="A20:F20"/>
    <mergeCell ref="G229:G230"/>
    <mergeCell ref="G254:G255"/>
    <mergeCell ref="G279:G280"/>
    <mergeCell ref="G3:G4"/>
    <mergeCell ref="G6:G7"/>
    <mergeCell ref="A3:A4"/>
    <mergeCell ref="B3:B4"/>
    <mergeCell ref="C3:E3"/>
    <mergeCell ref="F3:F4"/>
    <mergeCell ref="B49:D49"/>
    <mergeCell ref="B6:D6"/>
    <mergeCell ref="A317:H318"/>
    <mergeCell ref="G27:G28"/>
    <mergeCell ref="G50:G51"/>
    <mergeCell ref="G75:G76"/>
    <mergeCell ref="G100:G101"/>
    <mergeCell ref="G126:G127"/>
    <mergeCell ref="G153:G154"/>
    <mergeCell ref="G179:G180"/>
    <mergeCell ref="G204:G20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rowBreaks count="12" manualBreakCount="12">
    <brk id="24" max="6" man="1"/>
    <brk id="47" max="6" man="1"/>
    <brk id="72" max="6" man="1"/>
    <brk id="96" max="6" man="1"/>
    <brk id="122" max="6" man="1"/>
    <brk id="150" max="6" man="1"/>
    <brk id="176" max="6" man="1"/>
    <brk id="201" max="6" man="1"/>
    <brk id="226" max="6" man="1"/>
    <brk id="251" max="6" man="1"/>
    <brk id="276" max="6" man="1"/>
    <brk id="3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КГБ ОУ КШИ НКК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o.ivanova</dc:creator>
  <cp:keywords/>
  <dc:description/>
  <cp:lastModifiedBy>1</cp:lastModifiedBy>
  <cp:lastPrinted>2021-05-11T04:18:53Z</cp:lastPrinted>
  <dcterms:created xsi:type="dcterms:W3CDTF">2012-04-20T03:54:54Z</dcterms:created>
  <dcterms:modified xsi:type="dcterms:W3CDTF">2021-09-07T06:36:33Z</dcterms:modified>
  <cp:category/>
  <cp:version/>
  <cp:contentType/>
  <cp:contentStatus/>
</cp:coreProperties>
</file>